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002244\AppData\Local\Microsoft\Windows\INetCache\Content.Outlook\CDIF8UYC\"/>
    </mc:Choice>
  </mc:AlternateContent>
  <bookViews>
    <workbookView xWindow="0" yWindow="0" windowWidth="20490" windowHeight="6930" activeTab="2"/>
  </bookViews>
  <sheets>
    <sheet name="Características" sheetId="1" r:id="rId1"/>
    <sheet name="Portfolio" sheetId="6" r:id="rId2"/>
    <sheet name="Indicadores Financeiros" sheetId="8" r:id="rId3"/>
  </sheets>
  <definedNames>
    <definedName name="\0" localSheetId="2">#REF!</definedName>
    <definedName name="\0">#REF!</definedName>
    <definedName name="\A" localSheetId="2">#REF!</definedName>
    <definedName name="\A">#REF!</definedName>
    <definedName name="\B" localSheetId="2">#REF!</definedName>
    <definedName name="\B">#REF!</definedName>
    <definedName name="\d">#N/A</definedName>
    <definedName name="\e">#N/A</definedName>
    <definedName name="\f">#N/A</definedName>
    <definedName name="\j" localSheetId="2">#REF!</definedName>
    <definedName name="\j">#REF!</definedName>
    <definedName name="\k" localSheetId="2">#REF!</definedName>
    <definedName name="\k">#REF!</definedName>
    <definedName name="\m" localSheetId="2">#REF!</definedName>
    <definedName name="\m">#REF!</definedName>
    <definedName name="\n" localSheetId="2">#REF!</definedName>
    <definedName name="\n">#REF!</definedName>
    <definedName name="\P" localSheetId="2">#REF!</definedName>
    <definedName name="\P">#REF!</definedName>
    <definedName name="\Q" localSheetId="2">#REF!</definedName>
    <definedName name="\Q">#REF!</definedName>
    <definedName name="\S" localSheetId="2">#REF!</definedName>
    <definedName name="\S">#REF!</definedName>
    <definedName name="\W" localSheetId="2">#REF!</definedName>
    <definedName name="\W">#REF!</definedName>
    <definedName name="_6_0HOLAMBRA" localSheetId="2">#REF!</definedName>
    <definedName name="_6_0HOLAMBRA">#REF!</definedName>
    <definedName name="_89ACT">#N/A</definedName>
    <definedName name="_9HOLAMBRA" localSheetId="2">#REF!</definedName>
    <definedName name="_9HOLAMBRA">#REF!</definedName>
    <definedName name="_cif5" localSheetId="2">#REF!,#REF!,#REF!,#REF!</definedName>
    <definedName name="_cif5">#REF!,#REF!,#REF!,#REF!</definedName>
    <definedName name="_DAT10" localSheetId="2">#REF!</definedName>
    <definedName name="_DAT10">#REF!</definedName>
    <definedName name="_DAT12" localSheetId="2">#REF!</definedName>
    <definedName name="_DAT12">#REF!</definedName>
    <definedName name="_DAT3" localSheetId="2">#REF!</definedName>
    <definedName name="_DAT3">#REF!</definedName>
    <definedName name="_DAT6" localSheetId="2">#REF!</definedName>
    <definedName name="_DAT6">#REF!</definedName>
    <definedName name="_E1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E21" hidden="1">{"Despesas Diferidas Indedutíveis de 1998",#N/A,FALSE,"Impressão"}</definedName>
    <definedName name="_xlnm._FilterDatabase" localSheetId="2" hidden="1">#REF!</definedName>
    <definedName name="_xlnm._FilterDatabase" localSheetId="1" hidden="1">Portfolio!$B$4:$K$97</definedName>
    <definedName name="_xlnm._FilterDatabase" hidden="1">#REF!</definedName>
    <definedName name="_GTO1" localSheetId="2">#REF!</definedName>
    <definedName name="_GTO1">#REF!</definedName>
    <definedName name="_GTO2" localSheetId="2">#REF!</definedName>
    <definedName name="_GTO2">#REF!</definedName>
    <definedName name="_k2" localSheetId="2">#REF!</definedName>
    <definedName name="_k2">#REF!</definedName>
    <definedName name="_Key1" localSheetId="2" hidden="1">#REF!</definedName>
    <definedName name="_Key1" hidden="1">#REF!</definedName>
    <definedName name="_NAT30" localSheetId="2">#REF!</definedName>
    <definedName name="_NAT30">#REF!</definedName>
    <definedName name="_nu2" localSheetId="2">#REF!</definedName>
    <definedName name="_nu2">#REF!</definedName>
    <definedName name="_nu3" localSheetId="2">#REF!</definedName>
    <definedName name="_nu3">#REF!</definedName>
    <definedName name="_nu4" localSheetId="2">#REF!</definedName>
    <definedName name="_nu4">#REF!</definedName>
    <definedName name="_nu5" localSheetId="2">#REF!</definedName>
    <definedName name="_nu5">#REF!</definedName>
    <definedName name="_nu6" localSheetId="2">#REF!</definedName>
    <definedName name="_nu6">#REF!</definedName>
    <definedName name="_nu7" localSheetId="2">#REF!</definedName>
    <definedName name="_nu7">#REF!</definedName>
    <definedName name="_nu8" localSheetId="2">#REF!</definedName>
    <definedName name="_nu8">#REF!</definedName>
    <definedName name="_Order1" hidden="1">255</definedName>
    <definedName name="_RES96" localSheetId="2">#REF!</definedName>
    <definedName name="_RES96">#REF!</definedName>
    <definedName name="_SCH109" localSheetId="2">#REF!</definedName>
    <definedName name="_SCH109">#REF!</definedName>
    <definedName name="_sec2" localSheetId="2">#REF!</definedName>
    <definedName name="_sec2">#REF!</definedName>
    <definedName name="_sem1" localSheetId="2">#REF!</definedName>
    <definedName name="_sem1">#REF!</definedName>
    <definedName name="_sem2" localSheetId="2">#REF!</definedName>
    <definedName name="_sem2">#REF!</definedName>
    <definedName name="_Sort" localSheetId="2" hidden="1">#REF!</definedName>
    <definedName name="_Sort" hidden="1">#REF!</definedName>
    <definedName name="_td2" localSheetId="2">#REF!,#REF!,#REF!,#REF!</definedName>
    <definedName name="_td2">#REF!,#REF!,#REF!,#REF!</definedName>
    <definedName name="_tp2" localSheetId="2">#REF!,#REF!,#REF!,#REF!</definedName>
    <definedName name="_tp2">#REF!,#REF!,#REF!,#REF!</definedName>
    <definedName name="_un2" localSheetId="2">#REF!</definedName>
    <definedName name="_un2">#REF!</definedName>
    <definedName name="_VEC20" localSheetId="2">#REF!</definedName>
    <definedName name="_VEC20">#REF!</definedName>
    <definedName name="_wa1" localSheetId="2">#REF!,#REF!,#REF!,#REF!</definedName>
    <definedName name="_wa1">#REF!,#REF!,#REF!,#REF!</definedName>
    <definedName name="_wa2" localSheetId="2">#REF!,#REF!,#REF!,#REF!</definedName>
    <definedName name="_wa2">#REF!,#REF!,#REF!,#REF!</definedName>
    <definedName name="_wa3" localSheetId="2">#REF!</definedName>
    <definedName name="_wa3">#REF!</definedName>
    <definedName name="_wa4" localSheetId="2">#REF!,#REF!,#REF!,#REF!</definedName>
    <definedName name="_wa4">#REF!,#REF!,#REF!,#REF!</definedName>
    <definedName name="_wa5" localSheetId="2">#REF!,#REF!,#REF!,#REF!</definedName>
    <definedName name="_wa5">#REF!,#REF!,#REF!,#REF!</definedName>
    <definedName name="_woa1" localSheetId="2">#REF!</definedName>
    <definedName name="_woa1">#REF!</definedName>
    <definedName name="_woa2" localSheetId="2">#REF!,#REF!,#REF!,#REF!</definedName>
    <definedName name="_woa2">#REF!,#REF!,#REF!,#REF!</definedName>
    <definedName name="a1Área_de_impressão" localSheetId="2">#REF!</definedName>
    <definedName name="a1Área_de_impressão">#REF!</definedName>
    <definedName name="aaa" localSheetId="2">#REF!,#REF!,#REF!,#REF!</definedName>
    <definedName name="aaa">#REF!,#REF!,#REF!,#REF!</definedName>
    <definedName name="ACCSER" localSheetId="2">#REF!</definedName>
    <definedName name="ACCSER">#REF!</definedName>
    <definedName name="acdd" hidden="1">{"SCH27",#N/A,FALSE,"summary";"SCH39",#N/A,FALSE,"summary";"SCH41",#N/A,FALSE,"summary"}</definedName>
    <definedName name="AcrescCel_Anexo2" localSheetId="2">#REF!</definedName>
    <definedName name="AcrescCel_Anexo2">#REF!</definedName>
    <definedName name="ACT" localSheetId="2">#REF!</definedName>
    <definedName name="ACT">#REF!</definedName>
    <definedName name="ACTUALS">#N/A</definedName>
    <definedName name="Address_Ref" localSheetId="2">#REF!</definedName>
    <definedName name="Address_Ref">#REF!</definedName>
    <definedName name="adfjvhbqehrvbeh" hidden="1">{"SCH73",#N/A,FALSE,"eva";"SCH74",#N/A,FALSE,"eva";"SCH75",#N/A,FALSE,"eva"}</definedName>
    <definedName name="Administrativo_e_Financeiro" localSheetId="2">#REF!</definedName>
    <definedName name="Administrativo_e_Financeiro">#REF!</definedName>
    <definedName name="adriana" hidden="1">{"SCH47",#N/A,FALSE,"value";"sch48",#N/A,FALSE,"value"}</definedName>
    <definedName name="adto" localSheetId="2">#REF!</definedName>
    <definedName name="adto">#REF!</definedName>
    <definedName name="ahgvcbjknerv" localSheetId="2">#REF!</definedName>
    <definedName name="ahgvcbjknerv">#REF!</definedName>
    <definedName name="ai" localSheetId="2">#REF!</definedName>
    <definedName name="ai">#REF!</definedName>
    <definedName name="ALPHA" localSheetId="2">#REF!</definedName>
    <definedName name="ALPHA">#REF!</definedName>
    <definedName name="amarilio" hidden="1">{"SCH73",#N/A,FALSE,"eva";"SCH74",#N/A,FALSE,"eva";"SCH75",#N/A,FALSE,"eva"}</definedName>
    <definedName name="AMARRE" localSheetId="2">#REF!</definedName>
    <definedName name="AMARRE">#REF!</definedName>
    <definedName name="AMARRE_1" localSheetId="2">#REF!</definedName>
    <definedName name="AMARRE_1">#REF!</definedName>
    <definedName name="Amt_Orig" localSheetId="2">#REF!</definedName>
    <definedName name="Amt_Orig">#REF!</definedName>
    <definedName name="Amt_Rem" localSheetId="2">#REF!</definedName>
    <definedName name="Amt_Rem">#REF!</definedName>
    <definedName name="AREA" localSheetId="2">#REF!</definedName>
    <definedName name="AREA">#REF!</definedName>
    <definedName name="_xlnm.Print_Area" localSheetId="2">#REF!</definedName>
    <definedName name="_xlnm.Print_Area">#REF!</definedName>
    <definedName name="Área_impressão_IM" localSheetId="2">#REF!</definedName>
    <definedName name="Área_impressão_IM">#REF!</definedName>
    <definedName name="ARET" localSheetId="2">#REF!</definedName>
    <definedName name="ARET">#REF!</definedName>
    <definedName name="as" localSheetId="2">#REF!</definedName>
    <definedName name="as">#REF!</definedName>
    <definedName name="As_notas_explicativas_anexas_são_parte_integrante_destes_balanços." localSheetId="2">#REF!</definedName>
    <definedName name="As_notas_explicativas_anexas_são_parte_integrante_destes_balanços.">#REF!</definedName>
    <definedName name="ASDFGIWJGWRKLGMKRWMGMGB" hidden="1">{#N/A,#N/A,FALSE,"Skjema 6.5"}</definedName>
    <definedName name="asdkasfkacc" hidden="1">{"SCH73",#N/A,FALSE,"eva";"SCH74",#N/A,FALSE,"eva";"SCH75",#N/A,FALSE,"eva"}</definedName>
    <definedName name="asdssnajsvnqjevnqjlebvqreçgvj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askajsdjadwbefdwefvfd" hidden="1">{#N/A,#N/A,FALSE,"Skjema 6.5"}</definedName>
    <definedName name="ASSDFLÇKGNEQGEGEKGKGNEQ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asxdx" hidden="1">{"SCH29",#N/A,FALSE,"segments";"SCH30",#N/A,FALSE,"segments"}</definedName>
    <definedName name="ATCONSO" localSheetId="2">#REF!</definedName>
    <definedName name="ATCONSO">#REF!</definedName>
    <definedName name="Atendimento_a_Clientes" localSheetId="2">#REF!</definedName>
    <definedName name="Atendimento_a_Clientes">#REF!</definedName>
    <definedName name="ATIMFL" localSheetId="2">#REF!</definedName>
    <definedName name="ATIMFL">#REF!</definedName>
    <definedName name="Ativo" localSheetId="2">#REF!</definedName>
    <definedName name="Ativo">#REF!</definedName>
    <definedName name="ATIVO_PASSIVO" localSheetId="2">#REF!</definedName>
    <definedName name="ATIVO_PASSIVO">#REF!</definedName>
    <definedName name="ATSGM" localSheetId="2">#REF!</definedName>
    <definedName name="ATSGM">#REF!</definedName>
    <definedName name="Aumento40" localSheetId="2">#REF!</definedName>
    <definedName name="Aumento40">#REF!</definedName>
    <definedName name="Aumento60" localSheetId="2">#REF!</definedName>
    <definedName name="Aumento60">#REF!</definedName>
    <definedName name="_xlnm.Database" localSheetId="2">#REF!</definedName>
    <definedName name="_xlnm.Database">#REF!</definedName>
    <definedName name="banco_marflex" localSheetId="2">#REF!</definedName>
    <definedName name="banco_marflex">#REF!</definedName>
    <definedName name="BASE_ICM" localSheetId="2">#REF!</definedName>
    <definedName name="BASE_ICM">#REF!</definedName>
    <definedName name="bpap" localSheetId="2">#REF!</definedName>
    <definedName name="bpap">#REF!</definedName>
    <definedName name="Branch" localSheetId="2">#REF!</definedName>
    <definedName name="Branch">#REF!</definedName>
    <definedName name="BUDGET">#N/A</definedName>
    <definedName name="C_FISCAL" localSheetId="2">#REF!</definedName>
    <definedName name="C_FISCAL">#REF!</definedName>
    <definedName name="cabeçalho" localSheetId="2">#REF!</definedName>
    <definedName name="cabeçalho">#REF!</definedName>
    <definedName name="cafsf" localSheetId="2">#REF!</definedName>
    <definedName name="cafsf">#REF!</definedName>
    <definedName name="CAP" localSheetId="2">#REF!</definedName>
    <definedName name="CAP">#REF!</definedName>
    <definedName name="Capex" localSheetId="2">#REF!</definedName>
    <definedName name="Capex">#REF!</definedName>
    <definedName name="casdncisdcjnweiciejicjewijcwejcewjcj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Cash_Flow" localSheetId="2">#REF!</definedName>
    <definedName name="Cash_Flow">#REF!</definedName>
    <definedName name="cc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CENTRO">"227000"</definedName>
    <definedName name="CFBY">#N/A</definedName>
    <definedName name="CFC" localSheetId="2">#REF!</definedName>
    <definedName name="CFC">#REF!</definedName>
    <definedName name="CFCY">#N/A</definedName>
    <definedName name="CHECK" localSheetId="2">#REF!</definedName>
    <definedName name="CHECK">#REF!</definedName>
    <definedName name="CHECK2" localSheetId="2">#REF!</definedName>
    <definedName name="CHECK2">#REF!</definedName>
    <definedName name="chiroy" localSheetId="2">#REF!,#REF!,#REF!,#REF!</definedName>
    <definedName name="chiroy">#REF!,#REF!,#REF!,#REF!</definedName>
    <definedName name="CIFRA" localSheetId="2">#REF!</definedName>
    <definedName name="CIFRA">#REF!</definedName>
    <definedName name="CIFSEC" localSheetId="2">#REF!</definedName>
    <definedName name="CIFSEC">#REF!</definedName>
    <definedName name="CLIENTE" localSheetId="2">#REF!</definedName>
    <definedName name="CLIENTE">#REF!</definedName>
    <definedName name="COD_CLI" localSheetId="2">#REF!</definedName>
    <definedName name="COD_CLI">#REF!</definedName>
    <definedName name="Collection" localSheetId="2">#REF!</definedName>
    <definedName name="Collection">#REF!</definedName>
    <definedName name="COMP" localSheetId="2">#REF!</definedName>
    <definedName name="COMP">#REF!</definedName>
    <definedName name="COMPET" localSheetId="2">#REF!</definedName>
    <definedName name="COMPET">#REF!</definedName>
    <definedName name="conc" localSheetId="2">#REF!</definedName>
    <definedName name="conc">#REF!</definedName>
    <definedName name="cONT" localSheetId="2">#REF!</definedName>
    <definedName name="cONT">#REF!</definedName>
    <definedName name="CONT02092000.4" hidden="1">{#N/A,#N/A,FALSE,"1321";#N/A,#N/A,FALSE,"1324";#N/A,#N/A,FALSE,"1333";#N/A,#N/A,FALSE,"1371"}</definedName>
    <definedName name="CONTAS">""</definedName>
    <definedName name="Conteudo" localSheetId="2">#REF!</definedName>
    <definedName name="Conteudo">#REF!</definedName>
    <definedName name="conteudoadto" localSheetId="2">#REF!</definedName>
    <definedName name="conteudoadto">#REF!</definedName>
    <definedName name="Conteudocx" localSheetId="2">#REF!</definedName>
    <definedName name="Conteudocx">#REF!</definedName>
    <definedName name="conteudocx1" localSheetId="2">#REF!</definedName>
    <definedName name="conteudocx1">#REF!</definedName>
    <definedName name="ConteudoFM" localSheetId="2">#REF!</definedName>
    <definedName name="ConteudoFM">#REF!</definedName>
    <definedName name="Control" localSheetId="2">#REF!</definedName>
    <definedName name="Control">#REF!</definedName>
    <definedName name="conversão" localSheetId="2">#REF!</definedName>
    <definedName name="conversão">#REF!</definedName>
    <definedName name="CONVERSÃO_DE_OLEO_P_GÁS___N.PROJETOS" localSheetId="2">#REF!</definedName>
    <definedName name="CONVERSÃO_DE_OLEO_P_GÁS___N.PROJETOS">#REF!</definedName>
    <definedName name="copy" localSheetId="2">#REF!</definedName>
    <definedName name="copy">#REF!</definedName>
    <definedName name="COR_MON_064" localSheetId="2">#REF!</definedName>
    <definedName name="COR_MON_064">#REF!</definedName>
    <definedName name="Corporativo" localSheetId="2">#REF!</definedName>
    <definedName name="Corporativo">#REF!</definedName>
    <definedName name="COSTOS" localSheetId="2">#REF!</definedName>
    <definedName name="COSTOS">#REF!</definedName>
    <definedName name="ctry" localSheetId="2">#REF!</definedName>
    <definedName name="ctry">#REF!</definedName>
    <definedName name="CUADRO_1" localSheetId="2">#REF!</definedName>
    <definedName name="CUADRO_1">#REF!</definedName>
    <definedName name="CUADRO_2" localSheetId="2">#REF!</definedName>
    <definedName name="CUADRO_2">#REF!</definedName>
    <definedName name="CUADRO_3" localSheetId="2">#REF!</definedName>
    <definedName name="CUADRO_3">#REF!</definedName>
    <definedName name="Cupom_periodo" localSheetId="2">#REF!</definedName>
    <definedName name="Cupom_periodo">#REF!</definedName>
    <definedName name="Customer_name" localSheetId="2">#REF!</definedName>
    <definedName name="Customer_name">#REF!</definedName>
    <definedName name="CVTS" localSheetId="2">#REF!</definedName>
    <definedName name="CVTS">#REF!</definedName>
    <definedName name="cwwqq" hidden="1">{"SCH47",#N/A,FALSE,"value";"sch48",#N/A,FALSE,"value"}</definedName>
    <definedName name="CXC" localSheetId="2">#REF!</definedName>
    <definedName name="CXC">#REF!</definedName>
    <definedName name="D500_60" localSheetId="2">#REF!</definedName>
    <definedName name="D500_60">#REF!</definedName>
    <definedName name="da" localSheetId="2">#REF!</definedName>
    <definedName name="da">#REF!</definedName>
    <definedName name="dafjnvqernviqrejviojqervojrvjrjv" hidden="1">{"SCH15",#N/A,FALSE,"SCH15,16,85,86";"SCH16",#N/A,FALSE,"SCH15,16,85,86";"SCH85",#N/A,FALSE,"SCH15,16,85,86";"SCH86",#N/A,FALSE,"SCH15,16,85,86"}</definedName>
    <definedName name="data_hoje" localSheetId="2">#REF!</definedName>
    <definedName name="data_hoje">#REF!</definedName>
    <definedName name="Data_inicial" localSheetId="2">#REF!</definedName>
    <definedName name="Data_inicial">#REF!</definedName>
    <definedName name="Days_O" localSheetId="2">#REF!</definedName>
    <definedName name="Days_O">#REF!</definedName>
    <definedName name="DBN_ESTUDOS_E_PROJETOS" localSheetId="2">#REF!</definedName>
    <definedName name="DBN_ESTUDOS_E_PROJETOS">#REF!</definedName>
    <definedName name="DBN_MAQ._EQUIP._NACIONAIS" localSheetId="2">#REF!</definedName>
    <definedName name="DBN_MAQ._EQUIP._NACIONAIS">#REF!</definedName>
    <definedName name="DBN_MAQ._EQUIPAMENTOS_IMPORTADOS" localSheetId="2">#REF!</definedName>
    <definedName name="DBN_MAQ._EQUIPAMENTOS_IMPORTADOS">#REF!</definedName>
    <definedName name="DBN_OBRAS_CIVIS_INSTALAÇÕES" localSheetId="2">#REF!</definedName>
    <definedName name="DBN_OBRAS_CIVIS_INSTALAÇÕES">#REF!</definedName>
    <definedName name="DC" localSheetId="2">#REF!</definedName>
    <definedName name="DC">#REF!</definedName>
    <definedName name="DEFINE_I_II_ESTUDOS_E_PROJETOS" localSheetId="2">#REF!</definedName>
    <definedName name="DEFINE_I_II_ESTUDOS_E_PROJETOS">#REF!</definedName>
    <definedName name="DEFINE_III___MAQ._EQUIPAMENTOS_NACIONAIS" localSheetId="2">#REF!</definedName>
    <definedName name="DEFINE_III___MAQ._EQUIPAMENTOS_NACIONAIS">#REF!</definedName>
    <definedName name="DESC" localSheetId="2">#REF!</definedName>
    <definedName name="DESC">#REF!</definedName>
    <definedName name="Deuda.xls" localSheetId="2">#REF!</definedName>
    <definedName name="Deuda.xls">#REF!</definedName>
    <definedName name="Diferido_amort" localSheetId="2">#REF!</definedName>
    <definedName name="Diferido_amort">#REF!</definedName>
    <definedName name="DIRECTO" localSheetId="2">#REF!</definedName>
    <definedName name="DIRECTO">#REF!</definedName>
    <definedName name="Diretoria" localSheetId="2">#REF!</definedName>
    <definedName name="Diretoria">#REF!</definedName>
    <definedName name="DRE" localSheetId="2">#REF!</definedName>
    <definedName name="DRE">#REF!</definedName>
    <definedName name="dsaf" hidden="1">{"SCH27",#N/A,FALSE,"summary";"SCH39",#N/A,FALSE,"summary";"SCH41",#N/A,FALSE,"summary"}</definedName>
    <definedName name="dsfas" localSheetId="2">#REF!</definedName>
    <definedName name="dsfas">#REF!</definedName>
    <definedName name="DU" localSheetId="2">#REF!</definedName>
    <definedName name="DU">#REF!</definedName>
    <definedName name="Due_Date" localSheetId="2">#REF!</definedName>
    <definedName name="Due_Date">#REF!</definedName>
    <definedName name="E.PDD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E1.1.4" hidden="1">{"SCH73",#N/A,FALSE,"eva";"SCH74",#N/A,FALSE,"eva";"SCH75",#N/A,FALSE,"eva"}</definedName>
    <definedName name="ED" localSheetId="2">#REF!</definedName>
    <definedName name="ED">#REF!</definedName>
    <definedName name="EDS" localSheetId="2">#REF!</definedName>
    <definedName name="EDS">#REF!</definedName>
    <definedName name="ee" localSheetId="2">#REF!</definedName>
    <definedName name="ee">#REF!</definedName>
    <definedName name="efqvjnerjvn31nikj43f" hidden="1">{#N/A,#N/A,FALSE,"Skjema 6.5"}</definedName>
    <definedName name="ejkfbjr3gnferig34iogjop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EMPDEST">"011"</definedName>
    <definedName name="EMPRESA">"011"</definedName>
    <definedName name="Enter_Number" localSheetId="2">#REF!</definedName>
    <definedName name="Enter_Number">#REF!</definedName>
    <definedName name="eprg2eorjg" localSheetId="2">#REF!</definedName>
    <definedName name="eprg2eorjg">#REF!</definedName>
    <definedName name="ER_1" localSheetId="2">#REF!</definedName>
    <definedName name="ER_1">#REF!</definedName>
    <definedName name="ER_2" localSheetId="2">#REF!</definedName>
    <definedName name="ER_2">#REF!</definedName>
    <definedName name="ESTADO" localSheetId="2">#REF!</definedName>
    <definedName name="ESTADO">#REF!</definedName>
    <definedName name="eu" localSheetId="2">#REF!</definedName>
    <definedName name="eu">#REF!</definedName>
    <definedName name="fechamento" localSheetId="2">#REF!</definedName>
    <definedName name="fechamento">#REF!</definedName>
    <definedName name="FF_PAGT" localSheetId="2">#REF!</definedName>
    <definedName name="FF_PAGT">#REF!</definedName>
    <definedName name="FF_VENDA" localSheetId="2">#REF!</definedName>
    <definedName name="FF_VENDA">#REF!</definedName>
    <definedName name="ffffffffffffffffffffffffffffffffffff" localSheetId="2">#REF!</definedName>
    <definedName name="ffffffffffffffffffffffffffffffffffff">#REF!</definedName>
    <definedName name="FIVEBYTHREE1" localSheetId="2">#REF!</definedName>
    <definedName name="FIVEBYTHREE1">#REF!</definedName>
    <definedName name="FLASH">#N/A</definedName>
    <definedName name="FOREIGNINTERCOMONTH" localSheetId="2">#REF!</definedName>
    <definedName name="FOREIGNINTERCOMONTH">#REF!</definedName>
    <definedName name="FOREIGNINTERCOYEAR" localSheetId="2">#REF!</definedName>
    <definedName name="FOREIGNINTERCOYEAR">#REF!</definedName>
    <definedName name="FORMA" localSheetId="2">#REF!</definedName>
    <definedName name="FORMA">#REF!</definedName>
    <definedName name="FORMULAS" localSheetId="2">#REF!</definedName>
    <definedName name="FORMULAS">#REF!</definedName>
    <definedName name="fsfs" localSheetId="2">#REF!</definedName>
    <definedName name="fsfs">#REF!</definedName>
    <definedName name="GASTOS_1" localSheetId="2">#REF!</definedName>
    <definedName name="GASTOS_1">#REF!</definedName>
    <definedName name="GENPLANINFO" localSheetId="2">#REF!</definedName>
    <definedName name="GENPLANINFO">#REF!</definedName>
    <definedName name="GERAL">#N/A</definedName>
    <definedName name="GOTS" localSheetId="2">#REF!</definedName>
    <definedName name="GOTS">#REF!</definedName>
    <definedName name="_xlnm.Recorder" localSheetId="2">#REF!</definedName>
    <definedName name="_xlnm.Recorder">#REF!</definedName>
    <definedName name="HTBAL" localSheetId="2">#REF!</definedName>
    <definedName name="HTBAL">#REF!</definedName>
    <definedName name="HTRES" localSheetId="2">#REF!</definedName>
    <definedName name="HTRES">#REF!</definedName>
    <definedName name="HTSEC" localSheetId="2">#REF!</definedName>
    <definedName name="HTSEC">#REF!</definedName>
    <definedName name="HTSECN" localSheetId="2">#REF!</definedName>
    <definedName name="HTSECN">#REF!</definedName>
    <definedName name="I_9" localSheetId="2">#REF!</definedName>
    <definedName name="I_9">#REF!</definedName>
    <definedName name="I_SEC" localSheetId="2">#REF!</definedName>
    <definedName name="I_SEC">#REF!</definedName>
    <definedName name="ICM" localSheetId="2">#REF!</definedName>
    <definedName name="ICM">#REF!</definedName>
    <definedName name="ICM_RETIDO" localSheetId="2">#REF!</definedName>
    <definedName name="ICM_RETIDO">#REF!</definedName>
    <definedName name="imp" localSheetId="2">#REF!</definedName>
    <definedName name="imp">#REF!</definedName>
    <definedName name="Impostos" localSheetId="2">#REF!</definedName>
    <definedName name="Impostos">#REF!</definedName>
    <definedName name="IndicadoresFinanceiros">#REF!</definedName>
    <definedName name="INDICE">"001"</definedName>
    <definedName name="INGR2" localSheetId="2">#REF!</definedName>
    <definedName name="INGR2">#REF!</definedName>
    <definedName name="INGRESOS" localSheetId="2">#REF!</definedName>
    <definedName name="INGRESOS">#REF!</definedName>
    <definedName name="INT" localSheetId="2">#REF!</definedName>
    <definedName name="INT">#REF!</definedName>
    <definedName name="INTDIP" localSheetId="2">#REF!</definedName>
    <definedName name="INTDIP">#REF!</definedName>
    <definedName name="INTER" localSheetId="2">#REF!</definedName>
    <definedName name="INTER">#REF!</definedName>
    <definedName name="Inv_date" localSheetId="2">#REF!</definedName>
    <definedName name="Inv_date">#REF!</definedName>
    <definedName name="Inv_No." localSheetId="2">#REF!</definedName>
    <definedName name="Inv_No.">#REF!</definedName>
    <definedName name="Investimentos" localSheetId="2">#REF!</definedName>
    <definedName name="Investimentos">#REF!</definedName>
    <definedName name="IQATUAL">#N/A</definedName>
    <definedName name="IQNOGO">FALSE</definedName>
    <definedName name="IQTRUE">TRUE</definedName>
    <definedName name="IRF" localSheetId="2">#REF!</definedName>
    <definedName name="IRF">#REF!</definedName>
    <definedName name="ISPRODLINE00" localSheetId="2">#REF!</definedName>
    <definedName name="ISPRODLINE00">#REF!</definedName>
    <definedName name="IUJHIUYH" localSheetId="2">#REF!</definedName>
    <definedName name="IUJHIUYH">#REF!</definedName>
    <definedName name="jkwefweuf14if43" hidden="1">{#N/A,#N/A,FALSE,"Skjema 6.5"}</definedName>
    <definedName name="joao" hidden="1">{"SCH49",#N/A,FALSE,"eva"}</definedName>
    <definedName name="jso" hidden="1">{"sch56",#N/A,FALSE,"savings";"sch64",#N/A,FALSE,"savings"}</definedName>
    <definedName name="JUAN" localSheetId="2">#REF!</definedName>
    <definedName name="JUAN">#REF!</definedName>
    <definedName name="L_CLIENTE" localSheetId="2">#REF!</definedName>
    <definedName name="L_CLIENTE">#REF!</definedName>
    <definedName name="L_NF" localSheetId="2">#REF!</definedName>
    <definedName name="L_NF">#REF!</definedName>
    <definedName name="L_UF" localSheetId="2">#REF!</definedName>
    <definedName name="L_UF">#REF!</definedName>
    <definedName name="LANCTOS">#N/A</definedName>
    <definedName name="ma" localSheetId="2">#REF!</definedName>
    <definedName name="ma">#REF!</definedName>
    <definedName name="Manut" localSheetId="2">#REF!</definedName>
    <definedName name="Manut">#REF!</definedName>
    <definedName name="Maria" hidden="1">{"SCH73",#N/A,FALSE,"eva";"SCH74",#N/A,FALSE,"eva";"SCH75",#N/A,FALSE,"eva"}</definedName>
    <definedName name="mariaa" hidden="1">{"SCH73",#N/A,FALSE,"eva";"SCH74",#N/A,FALSE,"eva";"SCH75",#N/A,FALSE,"eva"}</definedName>
    <definedName name="Marketing_e_Vendas" localSheetId="2">#REF!</definedName>
    <definedName name="Marketing_e_Vendas">#REF!</definedName>
    <definedName name="mary" localSheetId="2">#REF!</definedName>
    <definedName name="mary">#REF!</definedName>
    <definedName name="MATRIZ" localSheetId="2">#REF!</definedName>
    <definedName name="MATRIZ">#REF!</definedName>
    <definedName name="matriz2" localSheetId="2">#REF!</definedName>
    <definedName name="matriz2">#REF!</definedName>
    <definedName name="mbgs" localSheetId="2">#REF!</definedName>
    <definedName name="mbgs">#REF!</definedName>
    <definedName name="me" localSheetId="2">#REF!</definedName>
    <definedName name="me">#REF!</definedName>
    <definedName name="MENU" localSheetId="2">#REF!</definedName>
    <definedName name="MENU">#REF!</definedName>
    <definedName name="Mercado_Total_Município_Região_Metropolitana" localSheetId="2">#REF!</definedName>
    <definedName name="Mercado_Total_Município_Região_Metropolitana">#REF!</definedName>
    <definedName name="mês" localSheetId="2">#REF!</definedName>
    <definedName name="mês">#REF!</definedName>
    <definedName name="mi" localSheetId="2">#REF!</definedName>
    <definedName name="mi">#REF!</definedName>
    <definedName name="mo" localSheetId="2">#REF!</definedName>
    <definedName name="mo">#REF!</definedName>
    <definedName name="MONTH">#N/A</definedName>
    <definedName name="Município" localSheetId="2">#REF!</definedName>
    <definedName name="Município">#REF!</definedName>
    <definedName name="my" localSheetId="2">#REF!</definedName>
    <definedName name="my">#REF!</definedName>
    <definedName name="n" localSheetId="2">#REF!</definedName>
    <definedName name="n">#REF!</definedName>
    <definedName name="N.1.2" hidden="1">{"SCH73",#N/A,FALSE,"eva";"SCH74",#N/A,FALSE,"eva";"SCH75",#N/A,FALSE,"eva"}</definedName>
    <definedName name="N.1.3" hidden="1">{"SCH27",#N/A,FALSE,"summary";"SCH39",#N/A,FALSE,"summary";"SCH41",#N/A,FALSE,"summary"}</definedName>
    <definedName name="NOVA_INSTRUMENTAÇÃO" localSheetId="2">#REF!</definedName>
    <definedName name="NOVA_INSTRUMENTAÇÃO">#REF!</definedName>
    <definedName name="NOVA_INSTRUMENTAÇÃO_EQUIPAMENTO_NAC." localSheetId="2">#REF!</definedName>
    <definedName name="NOVA_INSTRUMENTAÇÃO_EQUIPAMENTO_NAC.">#REF!</definedName>
    <definedName name="nuevo" localSheetId="2">#REF!</definedName>
    <definedName name="nuevo">#REF!</definedName>
    <definedName name="NvsASD">"V2001-01-01"</definedName>
    <definedName name="NvsAutoDrillOk">"VY"</definedName>
    <definedName name="NvsElapsedTime">0.00130138888926012</definedName>
    <definedName name="NvsEndTime">36934.6460070602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Effdt">"V1900-01-01"</definedName>
    <definedName name="NvsPanelSetid">"VGERAL"</definedName>
    <definedName name="NvsReqBU">"VA"</definedName>
    <definedName name="NvsReqBUOnly">"VY"</definedName>
    <definedName name="NvsTransLed">"VN"</definedName>
    <definedName name="NvsTreeASD">"V2001-01-01"</definedName>
    <definedName name="NvsValTbl.ACCOUNT">"GL_ACCOUNT_TBL"</definedName>
    <definedName name="NvsValTbl.DEPTID">"DEPARTMENT_TBL"</definedName>
    <definedName name="OCF" localSheetId="2">#REF!</definedName>
    <definedName name="OCF">#REF!</definedName>
    <definedName name="okjh" localSheetId="2">#REF!</definedName>
    <definedName name="okjh">#REF!</definedName>
    <definedName name="osma" localSheetId="2">#REF!,#REF!,#REF!,#REF!,#REF!</definedName>
    <definedName name="osma">#REF!,#REF!,#REF!,#REF!,#REF!</definedName>
    <definedName name="osma1" localSheetId="2">#REF!,#REF!,#REF!,#REF!</definedName>
    <definedName name="osma1">#REF!,#REF!,#REF!,#REF!</definedName>
    <definedName name="osma2" localSheetId="2">#REF!,#REF!,#REF!,#REF!</definedName>
    <definedName name="osma2">#REF!,#REF!,#REF!,#REF!</definedName>
    <definedName name="osma3" localSheetId="2">#REF!</definedName>
    <definedName name="osma3">#REF!</definedName>
    <definedName name="osma4" localSheetId="2">#REF!,#REF!,#REF!,#REF!</definedName>
    <definedName name="osma4">#REF!,#REF!,#REF!,#REF!</definedName>
    <definedName name="other" hidden="1">{"SCH15",#N/A,FALSE,"SCH15,16,85,86";"SCH16",#N/A,FALSE,"SCH15,16,85,86";"SCH85",#N/A,FALSE,"SCH15,16,85,86";"SCH86",#N/A,FALSE,"SCH15,16,85,86"}</definedName>
    <definedName name="OTROS" localSheetId="2">#REF!</definedName>
    <definedName name="OTROS">#REF!</definedName>
    <definedName name="otros2" localSheetId="2">#REF!</definedName>
    <definedName name="otros2">#REF!</definedName>
    <definedName name="P" localSheetId="2">#REF!</definedName>
    <definedName name="P">#REF!</definedName>
    <definedName name="P_CÁLCULO" localSheetId="2">#REF!</definedName>
    <definedName name="P_CÁLCULO">#REF!</definedName>
    <definedName name="PAS" localSheetId="2">#REF!</definedName>
    <definedName name="PAS">#REF!</definedName>
    <definedName name="PASCONSO" localSheetId="2">#REF!</definedName>
    <definedName name="PASCONSO">#REF!</definedName>
    <definedName name="PASMFL" localSheetId="2">#REF!</definedName>
    <definedName name="PASMFL">#REF!</definedName>
    <definedName name="PASSGM" localSheetId="2">#REF!</definedName>
    <definedName name="PASSGM">#REF!</definedName>
    <definedName name="Passivo" localSheetId="2">#REF!</definedName>
    <definedName name="Passivo">#REF!</definedName>
    <definedName name="paulo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Peru1" localSheetId="2">#REF!</definedName>
    <definedName name="Peru1">#REF!</definedName>
    <definedName name="peru2" localSheetId="2">#REF!</definedName>
    <definedName name="peru2">#REF!</definedName>
    <definedName name="Peru3" localSheetId="2">#REF!</definedName>
    <definedName name="Peru3">#REF!</definedName>
    <definedName name="peru4" localSheetId="2">#REF!</definedName>
    <definedName name="peru4">#REF!</definedName>
    <definedName name="Peru5" localSheetId="2">#REF!</definedName>
    <definedName name="Peru5">#REF!</definedName>
    <definedName name="Peru6" localSheetId="2">#REF!</definedName>
    <definedName name="Peru6">#REF!</definedName>
    <definedName name="Peru7" localSheetId="2">#REF!</definedName>
    <definedName name="Peru7">#REF!</definedName>
    <definedName name="PeruD19" localSheetId="2">#REF!</definedName>
    <definedName name="PeruD19">#REF!</definedName>
    <definedName name="PLANO">""</definedName>
    <definedName name="PLCONSO" localSheetId="2">#REF!</definedName>
    <definedName name="PLCONSO">#REF!</definedName>
    <definedName name="PLMFL" localSheetId="2">#REF!</definedName>
    <definedName name="PLMFL">#REF!</definedName>
    <definedName name="PLSGM" localSheetId="2">#REF!</definedName>
    <definedName name="PLSGM">#REF!</definedName>
    <definedName name="PORRA" localSheetId="2">#REF!</definedName>
    <definedName name="PORRA">#REF!</definedName>
    <definedName name="price_list" localSheetId="2">#REF!</definedName>
    <definedName name="price_list">#REF!</definedName>
    <definedName name="Print_Area_MI" localSheetId="2">#REF!</definedName>
    <definedName name="Print_Area_MI">#REF!</definedName>
    <definedName name="printarea2" localSheetId="2">#REF!</definedName>
    <definedName name="printarea2">#REF!</definedName>
    <definedName name="printareami2" localSheetId="2">#REF!</definedName>
    <definedName name="printareami2">#REF!</definedName>
    <definedName name="Ptax_inicial" localSheetId="2">#REF!</definedName>
    <definedName name="Ptax_inicial">#REF!</definedName>
    <definedName name="qekhrgbrgr3ghj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qerkfjeqbrgjbqergebrqglblqgb" hidden="1">{#N/A,#N/A,FALSE,"Skjema 6.5"}</definedName>
    <definedName name="qerknvqrv3rjgvo3jrvo3kjrv34gvp34o43k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qewvnqwernfvirejf3j4fj34jfj4j3jo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qjkevnjqenrvnervnqreijvjrjrjvrjvj" hidden="1">{"SCH51",#N/A,FALSE,"monthly"}</definedName>
    <definedName name="qwdlkwqjfheuirfbeuyrgvehrck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qwerjnfvi3jgfvij31gfvj3rf341poj3oopjk" hidden="1">{"SCH46",#N/A,FALSE,"sch46"}</definedName>
    <definedName name="qwfjqerf31f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R_Ocultar" localSheetId="2">#REF!</definedName>
    <definedName name="R_Ocultar">#REF!</definedName>
    <definedName name="real" localSheetId="2">#REF!</definedName>
    <definedName name="real">#REF!</definedName>
    <definedName name="Real1" localSheetId="2">#REF!</definedName>
    <definedName name="Real1">#REF!</definedName>
    <definedName name="RECAPITULACAO" localSheetId="2">#REF!</definedName>
    <definedName name="RECAPITULACAO">#REF!</definedName>
    <definedName name="RECAPITULACAO2" localSheetId="2">#REF!</definedName>
    <definedName name="RECAPITULACAO2">#REF!</definedName>
    <definedName name="Região_Metropolitana" localSheetId="2">#REF!</definedName>
    <definedName name="Região_Metropolitana">#REF!</definedName>
    <definedName name="relacao" localSheetId="2">#REF!</definedName>
    <definedName name="relacao">#REF!</definedName>
    <definedName name="RES" localSheetId="2">#REF!</definedName>
    <definedName name="RES">#REF!</definedName>
    <definedName name="RestiraCel_Anexo2" localSheetId="2">#REF!</definedName>
    <definedName name="RestiraCel_Anexo2">#REF!</definedName>
    <definedName name="Roberta" hidden="1">{"SCH44",#N/A,FALSE,"5b5f";"SCH45",#N/A,FALSE,"5b5f"}</definedName>
    <definedName name="roberto" hidden="1">{"SCH44",#N/A,FALSE,"5b5f";"SCH45",#N/A,FALSE,"5b5f"}</definedName>
    <definedName name="rodolfo" localSheetId="2">#REF!,#REF!,#REF!,#REF!</definedName>
    <definedName name="rodolfo">#REF!,#REF!,#REF!,#REF!</definedName>
    <definedName name="sadsadsdsad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sdcw" hidden="1">{"SCH54",#N/A,FALSE,"upside";"SCH55",#N/A,FALSE,"upside"}</definedName>
    <definedName name="sdfnvqervnernhivf" hidden="1">{#N/A,#N/A,FALSE,"Skjema 6.5"}</definedName>
    <definedName name="SEC" localSheetId="2">#REF!</definedName>
    <definedName name="SEC">#REF!</definedName>
    <definedName name="SECCYG" localSheetId="2">#REF!</definedName>
    <definedName name="SECCYG">#REF!</definedName>
    <definedName name="seccyg2" localSheetId="2">#REF!</definedName>
    <definedName name="seccyg2">#REF!</definedName>
    <definedName name="SECING" localSheetId="2">#REF!</definedName>
    <definedName name="SECING">#REF!</definedName>
    <definedName name="secing2" localSheetId="2">#REF!</definedName>
    <definedName name="secing2">#REF!</definedName>
    <definedName name="SECN" localSheetId="2">#REF!</definedName>
    <definedName name="SECN">#REF!</definedName>
    <definedName name="SERIE" localSheetId="2">#REF!</definedName>
    <definedName name="SERIE">#REF!</definedName>
    <definedName name="SLD.000.C.0.00.0000.00.00.11183030023">6473376.94000244</definedName>
    <definedName name="SLD.000.C.0.01.0000.00.00.11183030023">757839.43999958</definedName>
    <definedName name="Split40" localSheetId="2">#REF!</definedName>
    <definedName name="Split40">#REF!</definedName>
    <definedName name="Split50" localSheetId="2">#REF!</definedName>
    <definedName name="Split50">#REF!</definedName>
    <definedName name="Split60" localSheetId="2">#REF!</definedName>
    <definedName name="Split60">#REF!</definedName>
    <definedName name="sqsqsqs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Sub_quimica" localSheetId="2">#REF!</definedName>
    <definedName name="Sub_quimica">#REF!</definedName>
    <definedName name="SUBCTA1">""</definedName>
    <definedName name="SUBCTA2">""</definedName>
    <definedName name="Subquimica" localSheetId="2">#REF!</definedName>
    <definedName name="Subquimica">#REF!</definedName>
    <definedName name="T_RETIDO" localSheetId="2">#REF!</definedName>
    <definedName name="T_RETIDO">#REF!</definedName>
    <definedName name="TAB" localSheetId="2">#REF!</definedName>
    <definedName name="TAB">#REF!</definedName>
    <definedName name="TAnterior" localSheetId="2">#REF!</definedName>
    <definedName name="TAnterior">#REF!</definedName>
    <definedName name="TAX" localSheetId="2">#REF!</definedName>
    <definedName name="TAX">#REF!</definedName>
    <definedName name="TECLAR_ALT_I" localSheetId="2">#REF!</definedName>
    <definedName name="TECLAR_ALT_I">#REF!</definedName>
    <definedName name="Tecnologia" localSheetId="2">#REF!</definedName>
    <definedName name="Tecnologia">#REF!</definedName>
    <definedName name="tel" localSheetId="2">#REF!</definedName>
    <definedName name="tel">#REF!</definedName>
    <definedName name="TEST" localSheetId="2">#REF!</definedName>
    <definedName name="TEST">#REF!</definedName>
    <definedName name="TEST0" localSheetId="2">#REF!</definedName>
    <definedName name="TEST0">#REF!</definedName>
    <definedName name="TEST2" localSheetId="2">#REF!</definedName>
    <definedName name="TEST2">#REF!</definedName>
    <definedName name="TESTHKEY" localSheetId="2">#REF!</definedName>
    <definedName name="TESTHKEY">#REF!</definedName>
    <definedName name="TESTKEYS" localSheetId="2">#REF!</definedName>
    <definedName name="TESTKEYS">#REF!</definedName>
    <definedName name="TESTVKEY" localSheetId="2">#REF!</definedName>
    <definedName name="TESTVKEY">#REF!</definedName>
    <definedName name="_xlnm.Print_Titles" localSheetId="2">#REF!</definedName>
    <definedName name="_xlnm.Print_Titles">#REF!</definedName>
    <definedName name="TODOFI" localSheetId="2">#REF!,#REF!,#REF!,#REF!</definedName>
    <definedName name="TODOFI">#REF!,#REF!,#REF!,#REF!</definedName>
    <definedName name="Total_Custos_Operacionais" localSheetId="2">#REF!</definedName>
    <definedName name="Total_Custos_Operacionais">#REF!</definedName>
    <definedName name="TRIAL10" hidden="1">{"SCH44",#N/A,FALSE,"5b5f";"SCH45",#N/A,FALSE,"5b5f"}</definedName>
    <definedName name="TRIAL11" hidden="1">{"sch56",#N/A,FALSE,"savings";"sch64",#N/A,FALSE,"savings"}</definedName>
    <definedName name="TRIAL12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TRIAL13" hidden="1">{"SCH73",#N/A,FALSE,"eva";"SCH74",#N/A,FALSE,"eva";"SCH75",#N/A,FALSE,"eva"}</definedName>
    <definedName name="TRIAL14" hidden="1">{"SCH49",#N/A,FALSE,"eva"}</definedName>
    <definedName name="TRIAL15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TRIAL16" hidden="1">{"SCH15",#N/A,FALSE,"SCH15,16,85,86";"SCH16",#N/A,FALSE,"SCH15,16,85,86";"SCH85",#N/A,FALSE,"SCH15,16,85,86";"SCH86",#N/A,FALSE,"SCH15,16,85,86"}</definedName>
    <definedName name="TRIAL17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TRIAL18" hidden="1">{"SCH46",#N/A,FALSE,"sch46"}</definedName>
    <definedName name="TRIAL19" hidden="1">{"SCH51",#N/A,FALSE,"monthly"}</definedName>
    <definedName name="TRIAL20" hidden="1">{"SCH52",#N/A,FALSE,"sch52"}</definedName>
    <definedName name="TRIAL21" hidden="1">{"SCH29",#N/A,FALSE,"segments";"SCH30",#N/A,FALSE,"segments"}</definedName>
    <definedName name="TRIAL22" hidden="1">{"SCH27",#N/A,FALSE,"summary";"SCH39",#N/A,FALSE,"summary";"SCH41",#N/A,FALSE,"summary"}</definedName>
    <definedName name="TRIAL23" hidden="1">{"SCH54",#N/A,FALSE,"upside";"SCH55",#N/A,FALSE,"upside"}</definedName>
    <definedName name="TRIAL24" hidden="1">{"SCH47",#N/A,FALSE,"value";"sch48",#N/A,FALSE,"value"}</definedName>
    <definedName name="TRIAL25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trial30" hidden="1">{"SCH73",#N/A,FALSE,"eva";"SCH74",#N/A,FALSE,"eva";"SCH75",#N/A,FALSE,"eva"}</definedName>
    <definedName name="trial31" hidden="1">{"SCH44",#N/A,FALSE,"5b5f";"SCH45",#N/A,FALSE,"5b5f"}</definedName>
    <definedName name="trial32" hidden="1">{"SCH44",#N/A,FALSE,"5b5f";"SCH45",#N/A,FALSE,"5b5f"}</definedName>
    <definedName name="trial34" hidden="1">{"sch56",#N/A,FALSE,"savings";"sch64",#N/A,FALSE,"savings"}</definedName>
    <definedName name="trial35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trial36" hidden="1">{"SCH73",#N/A,FALSE,"eva";"SCH74",#N/A,FALSE,"eva";"SCH75",#N/A,FALSE,"eva"}</definedName>
    <definedName name="trial37" hidden="1">{"SCH49",#N/A,FALSE,"eva"}</definedName>
    <definedName name="trial38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trial39" hidden="1">{"SCH15",#N/A,FALSE,"SCH15,16,85,86";"SCH16",#N/A,FALSE,"SCH15,16,85,86";"SCH85",#N/A,FALSE,"SCH15,16,85,86";"SCH86",#N/A,FALSE,"SCH15,16,85,86"}</definedName>
    <definedName name="trial40" hidden="1">{"SCH15",#N/A,FALSE,"SCH15,16,85,86";"SCH16",#N/A,FALSE,"SCH15,16,85,86";"SCH85",#N/A,FALSE,"SCH15,16,85,86";"SCH86",#N/A,FALSE,"SCH15,16,85,86"}</definedName>
    <definedName name="trial41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trial42" hidden="1">{"SCH46",#N/A,FALSE,"sch46"}</definedName>
    <definedName name="trial43" hidden="1">{"SCH51",#N/A,FALSE,"monthly"}</definedName>
    <definedName name="trial44" hidden="1">{"SCH52",#N/A,FALSE,"sch52"}</definedName>
    <definedName name="trial45" hidden="1">{"SCH29",#N/A,FALSE,"segments";"SCH30",#N/A,FALSE,"segments"}</definedName>
    <definedName name="trial46" hidden="1">{"SCH27",#N/A,FALSE,"summary";"SCH39",#N/A,FALSE,"summary";"SCH41",#N/A,FALSE,"summary"}</definedName>
    <definedName name="trial47" hidden="1">{"SCH54",#N/A,FALSE,"upside";"SCH55",#N/A,FALSE,"upside"}</definedName>
    <definedName name="trial48" hidden="1">{"SCH47",#N/A,FALSE,"value";"sch48",#N/A,FALSE,"value"}</definedName>
    <definedName name="trial49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Trx_Type" localSheetId="2">#REF!</definedName>
    <definedName name="Trx_Type">#REF!</definedName>
    <definedName name="TTT" localSheetId="2">#REF!,#REF!,#REF!,#REF!</definedName>
    <definedName name="TTT">#REF!,#REF!,#REF!,#REF!</definedName>
    <definedName name="TUDO" localSheetId="2">#REF!</definedName>
    <definedName name="TUDO">#REF!</definedName>
    <definedName name="UF" localSheetId="2">#REF!</definedName>
    <definedName name="UF">#REF!</definedName>
    <definedName name="uhtr" hidden="1">{"SCH15",#N/A,FALSE,"SCH15,16,85,86";"SCH16",#N/A,FALSE,"SCH15,16,85,86";"SCH85",#N/A,FALSE,"SCH15,16,85,86";"SCH86",#N/A,FALSE,"SCH15,16,85,86"}</definedName>
    <definedName name="UltLin" localSheetId="2">#REF!</definedName>
    <definedName name="UltLin">#REF!</definedName>
    <definedName name="UN" localSheetId="2">#REF!</definedName>
    <definedName name="UN">#REF!</definedName>
    <definedName name="UOP___TECNOLOGIA" localSheetId="2">#REF!</definedName>
    <definedName name="UOP___TECNOLOGIA">#REF!</definedName>
    <definedName name="uuu" localSheetId="2">#REF!</definedName>
    <definedName name="uuu">#REF!</definedName>
    <definedName name="VALOR" localSheetId="2">#REF!</definedName>
    <definedName name="VALOR">#REF!</definedName>
    <definedName name="Valor_destacado_R" localSheetId="2">#REF!</definedName>
    <definedName name="Valor_destacado_R">#REF!</definedName>
    <definedName name="Valor_destacado_US" localSheetId="2">#REF!</definedName>
    <definedName name="Valor_destacado_US">#REF!</definedName>
    <definedName name="Vencimento" localSheetId="2">#REF!</definedName>
    <definedName name="Vencimento">#REF!</definedName>
    <definedName name="VENDAS" localSheetId="2">#REF!</definedName>
    <definedName name="VENDAS">#REF!</definedName>
    <definedName name="VENTES" localSheetId="2">#REF!</definedName>
    <definedName name="VENTES">#REF!</definedName>
    <definedName name="versao2" localSheetId="2">#REF!</definedName>
    <definedName name="versao2">#REF!</definedName>
    <definedName name="voucher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WAA" localSheetId="2">#REF!</definedName>
    <definedName name="WAA">#REF!</definedName>
    <definedName name="wac" localSheetId="2">#REF!</definedName>
    <definedName name="wac">#REF!</definedName>
    <definedName name="WACA" localSheetId="2">#REF!,#REF!,#REF!,#REF!</definedName>
    <definedName name="WACA">#REF!,#REF!,#REF!,#REF!</definedName>
    <definedName name="WAFITO" localSheetId="2">#REF!,#REF!,#REF!,#REF!</definedName>
    <definedName name="WAFITO">#REF!,#REF!,#REF!,#REF!</definedName>
    <definedName name="WAL" localSheetId="2">#REF!,#REF!,#REF!,#REF!</definedName>
    <definedName name="WAL">#REF!,#REF!,#REF!,#REF!</definedName>
    <definedName name="wam" localSheetId="2">#REF!,#REF!,#REF!,#REF!</definedName>
    <definedName name="wam">#REF!,#REF!,#REF!,#REF!</definedName>
    <definedName name="was" localSheetId="2">#REF!,#REF!,#REF!,#REF!</definedName>
    <definedName name="was">#REF!,#REF!,#REF!,#REF!</definedName>
    <definedName name="wasdfvklermvlmewrvlewrmlv" hidden="1">{"SCH73",#N/A,FALSE,"eva";"SCH74",#N/A,FALSE,"eva";"SCH75",#N/A,FALSE,"eva"}</definedName>
    <definedName name="wekjnvqenrviqejrgivj1341j3o4jfo34kje" hidden="1">{"SCH52",#N/A,FALSE,"sch52"}</definedName>
    <definedName name="welkfngvqekgq3jgq34jgj3o4pgj4pj" hidden="1">{"SCH49",#N/A,FALSE,"eva"}</definedName>
    <definedName name="wergwegr4g" localSheetId="2">#REF!</definedName>
    <definedName name="wergwegr4g">#REF!</definedName>
    <definedName name="Worksheet" localSheetId="2">#REF!</definedName>
    <definedName name="Worksheet">#REF!</definedName>
    <definedName name="wrn.01." hidden="1">{#N/A,#N/A,FALSE,"1321";#N/A,#N/A,FALSE,"1324";#N/A,#N/A,FALSE,"1333";#N/A,#N/A,FALSE,"1371"}</definedName>
    <definedName name="wrn.083." hidden="1">{#N/A,#N/A,FALSE,"CONTRIB.SOCIAL ACUM.";#N/A,#N/A,FALSE,"CONTRIB.SOCIAL";#N/A,#N/A,FALSE,"APUR.LUCRO REAL ACUM.";#N/A,#N/A,FALSE,"APUR.LUCRO REAL";#N/A,#N/A,FALSE,"DEMOST.RESULT ACUM.";#N/A,#N/A,FALSE,"DEMONST.RESULT.";#N/A,#N/A,FALSE,"PASSIVO";#N/A,#N/A,FALSE,"ATIVO"}</definedName>
    <definedName name="wrn.5BY5." hidden="1">{"SCH44",#N/A,FALSE,"5b5f";"SCH45",#N/A,FALSE,"5b5f"}</definedName>
    <definedName name="wrn.ALL.FIN2." hidden="1">{"SCH35",#N/A,FALSE,"5X3";"SCH36",#N/A,FALSE,"5X3";"SCH37",#N/A,FALSE,"5X3";"SCH38",#N/A,FALSE,"5X3";"SCH39A",#N/A,FALSE,"5X3";"SCH39B",#N/A,FALSE,"5X3";"SCH40",#N/A,FALSE,"5X3"}</definedName>
    <definedName name="wrn.ALL_HR." hidden="1">{"SCH66",#N/A,FALSE,"SCH66";"sch66a",#N/A,FALSE,"SCH66A";"SCH67",#N/A,FALSE,"SCH67";"SCH68",#N/A,FALSE,"SCH68";"SCH69",#N/A,FALSE,"SCH69";"sch701",#N/A,FALSE,"SCH70";"sch702",#N/A,FALSE,"SCH70";"SCH81",#N/A,FALSE,"SCH81";"SCH821",#N/A,FALSE,"SCH82";"SCH822",#N/A,FALSE,"SCH82"}</definedName>
    <definedName name="wrn.All_Plandol." hidden="1">{"sch24",#N/A,FALSE,"summary";"sch40",#N/A,FALSE,"summary";"sch42",#N/A,FALSE,"summary";"sch25",#N/A,FALSE,"monthly";"sch41",#N/A,FALSE,"monthly";"sch43",#N/A,FALSE,"monthly";"sch44",#N/A,FALSE,"monthly";"sch56",#N/A,FALSE,"monthly";"sch57",#N/A,FALSE,"monthly";"sch59",#N/A,FALSE,"monthly";"sch76",#N/A,FALSE,"monthly";"sch77",#N/A,FALSE,"monthly";"sch78",#N/A,FALSE,"monthly";"sch79",#N/A,FALSE,"monthly";"sch80",#N/A,FALSE,"monthly";"sch32",#N/A,FALSE,"ebitrecs";"sch33",#N/A,FALSE,"ebitrecs";"sch34",#N/A,FALSE,"ebitrecs";"sch35",#N/A,FALSE,"ebitrecs";"sch36",#N/A,FALSE,"ebitrecs";"sch37",#N/A,FALSE,"ebitrecs";"sch38",#N/A,FALSE,"ebitrecs";"sch39",#N/A,FALSE,"ebitrecs";"sch53",#N/A,FALSE,"value";"sch60",#N/A,FALSE,"upside";"sch61",#N/A,FALSE,"upside";"sch54",#N/A,FALSE,"value";"sch45",#N/A,FALSE,"5b5f";"sch46",#N/A,FALSE,"5b5f";"sch47",#N/A,FALSE,"5b5f";"sch48",#N/A,FALSE,"5b5f";"sch49",#N/A,FALSE,"5b5f";"sch501",#N/A,FALSE,"5b5f";"sch502",#N/A,FALSE,"5b5f";"sch51",#N/A,FALSE,"5b5f";"sch55",#N/A,FALSE,"eva";"sch63",#N/A,FALSE,"eva";"sch64",#N/A,FALSE,"eva";"sch65",#N/A,FALSE,"eva";"sch6",#N/A,FALSE,"SCH6";"sch26",#N/A,FALSE,"SCH26";"sch7",#N/A,FALSE,"SCH7";"sch27",#N/A,FALSE,"SCH27";"sch28",#N/A,FALSE,"SCH28";"sch29",#N/A,FALSE,"SCH29";"sch30",#N/A,FALSE,"SCH30";"sch31",#N/A,FALSE,"SCH31";"sch521",#N/A,FALSE,"SCH52";"sch522",#N/A,FALSE,"SCH52";"sch523",#N/A,FALSE,"SCH52";"sch58",#N/A,FALSE,"SCH58";"sch62",#N/A,FALSE,"SCH62"}</definedName>
    <definedName name="wrn.Clarobook.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wrn.COSTIMP." hidden="1">{"sch56",#N/A,FALSE,"savings";"sch64",#N/A,FALSE,"savings"}</definedName>
    <definedName name="wrn.Despesas._.Diferidas._.Indedutíveis._.de._.1998." hidden="1">{"Despesas Diferidas Indedutíveis de 1998",#N/A,FALSE,"Impressão"}</definedName>
    <definedName name="wrn.EBITRECS.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wrn.EVA." hidden="1">{"SCH73",#N/A,FALSE,"eva";"SCH74",#N/A,FALSE,"eva";"SCH75",#N/A,FALSE,"eva"}</definedName>
    <definedName name="wrn.FULL_PACKAGE." hidden="1">{#N/A,#N/A,FALSE,"Checklist";#N/A,#N/A,FALSE,"Sch 1";#N/A,#N/A,FALSE,"Sch 2";#N/A,#N/A,FALSE,"Sch 2A";#N/A,#N/A,FALSE,"Sch 3";#N/A,#N/A,FALSE,"Sch 4";#N/A,#N/A,FALSE,"Sch 5";#N/A,#N/A,FALSE,"Sch 6";#N/A,#N/A,FALSE,"Sch 7";#N/A,#N/A,FALSE,"Sch 7 A";#N/A,#N/A,FALSE,"Sch 7 B";#N/A,#N/A,FALSE,"Sch 8";#N/A,#N/A,FALSE,"Sch 9";#N/A,#N/A,FALSE,"Sch 10";#N/A,#N/A,FALSE,"Sch 11";#N/A,#N/A,FALSE,"Sch 11 A";#N/A,#N/A,FALSE,"Sch12";#N/A,#N/A,FALSE,"Sch13";#N/A,#N/A,FALSE,"Weekly CF";#N/A,#N/A,FALSE,"Detailed Q CF";#N/A,#N/A,FALSE,"Collection";#N/A,#N/A,FALSE,"Revenues Analysis- actuals";#N/A,#N/A,FALSE,"Revenues Analysis - Forecast";#N/A,#N/A,FALSE,"Backlog";#N/A,#N/A,FALSE," mangment P&amp;L";#N/A,#N/A,FALSE,"Restricted cash"}</definedName>
    <definedName name="wrn.HRMONTH." hidden="1">{"SCH81",#N/A,FALSE,"SCH81";"SCH82",#N/A,FALSE,"SCH82"}</definedName>
    <definedName name="wrn.KEYFIN." hidden="1">{"SCH49",#N/A,FALSE,"eva"}</definedName>
    <definedName name="wrn.MONTHLY.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wrn.PRINT." hidden="1">{"SCH15",#N/A,FALSE,"SCH15,16,85,86";"SCH16",#N/A,FALSE,"SCH15,16,85,86";"SCH85",#N/A,FALSE,"SCH15,16,85,86";"SCH86",#N/A,FALSE,"SCH15,16,85,86"}</definedName>
    <definedName name="wrn.print1." hidden="1">{"SCH15",#N/A,FALSE,"SCH15,16,85,86";"SCH16",#N/A,FALSE,"SCH15,16,85,86";"SCH85",#N/A,FALSE,"SCH15,16,85,86";"SCH86",#N/A,FALSE,"SCH15,16,85,86"}</definedName>
    <definedName name="wrn.PRINTHR." hidden="1">{"SCH66",#N/A,FALSE,"SCH66";"SCH67",#N/A,FALSE,"SCH67";"SCH68",#N/A,FALSE,"SCH68";"SCH69",#N/A,FALSE,"SCH69";"SCH70",#N/A,FALSE,"SCH70"}</definedName>
    <definedName name="wrn.PRINTMKTG." hidden="1">{"sch6",#N/A,FALSE,"SCH6";"sch7",#N/A,FALSE,"SCH7"}</definedName>
    <definedName name="wrn.PRINTPROD.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wrn.PROGRAMS." hidden="1">{"sch52",#N/A,FALSE,"SCH52"}</definedName>
    <definedName name="wrn.Relatório._.Completo.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wrn.Relatório._.para._.Auditoria." hidden="1">{"Ajustes CS para a Auditoria",#N/A,FALSE,"Impressão";"Controle de saldos para a Auditoria",#N/A,FALSE,"Impressão";"CS Real para a Auditoria",#N/A,FALSE,"Impressão";"Ajustes IR para a Auditoria",#N/A,FALSE,"Impressão";"IR Real para a Auditoria",#N/A,FALSE,"Impressão"}</definedName>
    <definedName name="wrn.SCH46." hidden="1">{"SCH46",#N/A,FALSE,"sch46"}</definedName>
    <definedName name="wrn.SCH51." hidden="1">{"SCH51",#N/A,FALSE,"monthly"}</definedName>
    <definedName name="wrn.SCH52." hidden="1">{"SCH52",#N/A,FALSE,"sch52"}</definedName>
    <definedName name="wrn.SCH57." hidden="1">{"SCH57",#N/A,FALSE,"monthly"}</definedName>
    <definedName name="wrn.SCH58." hidden="1">{"sch58",#N/A,FALSE,"SCH58"}</definedName>
    <definedName name="wrn.SEGMENT." hidden="1">{"SCH29",#N/A,FALSE,"segments";"SCH30",#N/A,FALSE,"segments"}</definedName>
    <definedName name="wrn.SUMMARY." hidden="1">{"SCH27",#N/A,FALSE,"summary";"SCH39",#N/A,FALSE,"summary";"SCH41",#N/A,FALSE,"summary"}</definedName>
    <definedName name="wrn.UPDOWN." hidden="1">{"SCH54",#N/A,FALSE,"upside";"SCH55",#N/A,FALSE,"upside"}</definedName>
    <definedName name="wrn.VALUE." hidden="1">{"SCH47",#N/A,FALSE,"value";"sch48",#N/A,FALSE,"value"}</definedName>
    <definedName name="wrn.YEARLY.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www" localSheetId="2">#REF!</definedName>
    <definedName name="www">#REF!</definedName>
    <definedName name="x" localSheetId="2">#REF!</definedName>
    <definedName name="x">#REF!</definedName>
    <definedName name="xx" hidden="1">{#N/A,#N/A,FALSE,"Skjema 6.5"}</definedName>
    <definedName name="yan" localSheetId="2">#REF!</definedName>
    <definedName name="yan">#REF!</definedName>
    <definedName name="yr" localSheetId="2">#REF!</definedName>
    <definedName name="yr">#REF!</definedName>
    <definedName name="YRS" localSheetId="2">#REF!</definedName>
    <definedName name="YRS">#REF!</definedName>
  </definedNames>
  <calcPr calcId="171027" calcMode="manual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96" i="8" l="1"/>
  <c r="V96" i="8"/>
  <c r="U96" i="8"/>
  <c r="U82" i="8" l="1"/>
  <c r="U83" i="8"/>
  <c r="U95" i="8" s="1"/>
  <c r="V86" i="8" l="1"/>
  <c r="V81" i="8"/>
  <c r="W91" i="8" l="1"/>
  <c r="W92" i="8"/>
  <c r="V92" i="8"/>
  <c r="U92" i="8"/>
  <c r="V91" i="8"/>
  <c r="U91" i="8"/>
  <c r="W83" i="8"/>
  <c r="V83" i="8"/>
  <c r="V95" i="8" s="1"/>
  <c r="W80" i="8"/>
  <c r="V80" i="8"/>
  <c r="U80" i="8"/>
  <c r="W87" i="8" l="1"/>
  <c r="W95" i="8" s="1"/>
  <c r="U89" i="8"/>
  <c r="V89" i="8"/>
  <c r="W89" i="8" l="1"/>
  <c r="W68" i="8"/>
  <c r="W63" i="8"/>
  <c r="V63" i="8"/>
  <c r="U63" i="8"/>
  <c r="W19" i="8" l="1"/>
  <c r="V19" i="8"/>
  <c r="U19" i="8"/>
  <c r="W16" i="8"/>
  <c r="V16" i="8"/>
  <c r="U16" i="8"/>
  <c r="W77" i="8" l="1"/>
  <c r="V77" i="8"/>
  <c r="U77" i="8"/>
  <c r="V68" i="8"/>
  <c r="U68" i="8"/>
  <c r="W47" i="8"/>
  <c r="V47" i="8"/>
  <c r="U47" i="8"/>
  <c r="W43" i="8"/>
  <c r="V43" i="8"/>
  <c r="U43" i="8"/>
  <c r="W34" i="8"/>
  <c r="V34" i="8"/>
  <c r="U34" i="8"/>
  <c r="W25" i="8"/>
  <c r="V25" i="8"/>
  <c r="V32" i="8" s="1"/>
  <c r="U25" i="8"/>
  <c r="U32" i="8" s="1"/>
  <c r="W5" i="8"/>
  <c r="W32" i="8" s="1"/>
  <c r="V5" i="8"/>
  <c r="U5" i="8"/>
  <c r="U4" i="8"/>
  <c r="V4" i="8" s="1"/>
  <c r="W4" i="8" s="1"/>
  <c r="W53" i="8" l="1"/>
  <c r="W56" i="8" s="1"/>
  <c r="U41" i="8"/>
  <c r="U53" i="8"/>
  <c r="U56" i="8" s="1"/>
  <c r="V53" i="8"/>
  <c r="V56" i="8" s="1"/>
  <c r="V41" i="8"/>
  <c r="W41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W73" i="8" l="1"/>
  <c r="W71" i="8" s="1"/>
  <c r="W62" i="8"/>
  <c r="W67" i="8" s="1"/>
  <c r="W69" i="8" s="1"/>
  <c r="W76" i="8" s="1"/>
  <c r="W75" i="8" s="1"/>
  <c r="W57" i="8"/>
  <c r="U57" i="8"/>
  <c r="U62" i="8"/>
  <c r="U73" i="8"/>
  <c r="U71" i="8" s="1"/>
  <c r="V62" i="8"/>
  <c r="V73" i="8"/>
  <c r="V71" i="8" s="1"/>
  <c r="V57" i="8"/>
  <c r="R82" i="8"/>
  <c r="R87" i="8"/>
  <c r="R86" i="8"/>
  <c r="R81" i="8"/>
  <c r="S87" i="8"/>
  <c r="S82" i="8"/>
  <c r="S81" i="8"/>
  <c r="T87" i="8"/>
  <c r="T86" i="8"/>
  <c r="T82" i="8"/>
  <c r="T81" i="8"/>
  <c r="W64" i="8" l="1"/>
  <c r="W65" i="8"/>
  <c r="V65" i="8"/>
  <c r="V67" i="8"/>
  <c r="V69" i="8" s="1"/>
  <c r="V76" i="8" s="1"/>
  <c r="V75" i="8" s="1"/>
  <c r="V64" i="8"/>
  <c r="U65" i="8"/>
  <c r="U67" i="8"/>
  <c r="U69" i="8" s="1"/>
  <c r="U76" i="8" s="1"/>
  <c r="U75" i="8" s="1"/>
  <c r="U64" i="8"/>
  <c r="R43" i="8"/>
  <c r="S43" i="8"/>
  <c r="T43" i="8"/>
  <c r="T96" i="8" l="1"/>
  <c r="S96" i="8"/>
  <c r="R96" i="8"/>
  <c r="T80" i="8"/>
  <c r="T95" i="8" s="1"/>
  <c r="S80" i="8"/>
  <c r="S95" i="8" s="1"/>
  <c r="R80" i="8"/>
  <c r="R95" i="8" s="1"/>
  <c r="T77" i="8"/>
  <c r="S77" i="8"/>
  <c r="R77" i="8"/>
  <c r="T68" i="8"/>
  <c r="S68" i="8"/>
  <c r="R68" i="8"/>
  <c r="T63" i="8"/>
  <c r="S63" i="8"/>
  <c r="R63" i="8"/>
  <c r="T60" i="8"/>
  <c r="S60" i="8"/>
  <c r="R60" i="8"/>
  <c r="T47" i="8"/>
  <c r="S47" i="8"/>
  <c r="R47" i="8"/>
  <c r="T34" i="8"/>
  <c r="S34" i="8"/>
  <c r="R34" i="8"/>
  <c r="T25" i="8"/>
  <c r="S25" i="8"/>
  <c r="R25" i="8"/>
  <c r="T19" i="8"/>
  <c r="S19" i="8"/>
  <c r="R19" i="8"/>
  <c r="T16" i="8"/>
  <c r="S16" i="8"/>
  <c r="R16" i="8"/>
  <c r="T5" i="8"/>
  <c r="S5" i="8"/>
  <c r="R5" i="8"/>
  <c r="R4" i="8"/>
  <c r="S4" i="8" s="1"/>
  <c r="T4" i="8" s="1"/>
  <c r="T32" i="8" l="1"/>
  <c r="S32" i="8"/>
  <c r="S53" i="8" s="1"/>
  <c r="R32" i="8"/>
  <c r="R53" i="8" s="1"/>
  <c r="S41" i="8"/>
  <c r="T41" i="8"/>
  <c r="T53" i="8"/>
  <c r="R41" i="8" l="1"/>
  <c r="T56" i="8"/>
  <c r="T91" i="8"/>
  <c r="T92" i="8"/>
  <c r="R92" i="8"/>
  <c r="R56" i="8"/>
  <c r="R91" i="8"/>
  <c r="S56" i="8"/>
  <c r="S91" i="8"/>
  <c r="S92" i="8"/>
  <c r="S73" i="8" l="1"/>
  <c r="S71" i="8" s="1"/>
  <c r="S62" i="8"/>
  <c r="S57" i="8"/>
  <c r="R73" i="8"/>
  <c r="R71" i="8" s="1"/>
  <c r="R62" i="8"/>
  <c r="R57" i="8"/>
  <c r="T57" i="8"/>
  <c r="T62" i="8"/>
  <c r="T73" i="8"/>
  <c r="T71" i="8" s="1"/>
  <c r="S67" i="8" l="1"/>
  <c r="S69" i="8" s="1"/>
  <c r="S76" i="8" s="1"/>
  <c r="S75" i="8" s="1"/>
  <c r="S65" i="8"/>
  <c r="S64" i="8"/>
  <c r="T64" i="8"/>
  <c r="T67" i="8"/>
  <c r="T69" i="8" s="1"/>
  <c r="T76" i="8" s="1"/>
  <c r="T75" i="8" s="1"/>
  <c r="T65" i="8"/>
  <c r="R65" i="8"/>
  <c r="R67" i="8"/>
  <c r="R69" i="8" s="1"/>
  <c r="R76" i="8" s="1"/>
  <c r="R75" i="8" s="1"/>
  <c r="R64" i="8"/>
  <c r="Q96" i="8" l="1"/>
  <c r="P96" i="8"/>
  <c r="Q80" i="8"/>
  <c r="Q95" i="8" s="1"/>
  <c r="P80" i="8"/>
  <c r="P95" i="8" s="1"/>
  <c r="Q77" i="8"/>
  <c r="P77" i="8"/>
  <c r="Q68" i="8"/>
  <c r="P68" i="8"/>
  <c r="Q63" i="8"/>
  <c r="P63" i="8"/>
  <c r="Q60" i="8"/>
  <c r="P60" i="8"/>
  <c r="Q47" i="8"/>
  <c r="P47" i="8"/>
  <c r="Q43" i="8"/>
  <c r="P43" i="8"/>
  <c r="Q34" i="8"/>
  <c r="P34" i="8"/>
  <c r="Q25" i="8"/>
  <c r="P25" i="8"/>
  <c r="Q19" i="8"/>
  <c r="P19" i="8"/>
  <c r="Q16" i="8"/>
  <c r="P16" i="8"/>
  <c r="Q5" i="8"/>
  <c r="P5" i="8"/>
  <c r="O96" i="8"/>
  <c r="N96" i="8"/>
  <c r="M96" i="8"/>
  <c r="L96" i="8"/>
  <c r="K96" i="8"/>
  <c r="J96" i="8"/>
  <c r="I96" i="8"/>
  <c r="O80" i="8"/>
  <c r="O95" i="8" s="1"/>
  <c r="N80" i="8"/>
  <c r="N95" i="8" s="1"/>
  <c r="M80" i="8"/>
  <c r="M95" i="8" s="1"/>
  <c r="L80" i="8"/>
  <c r="L95" i="8" s="1"/>
  <c r="K80" i="8"/>
  <c r="K95" i="8" s="1"/>
  <c r="J80" i="8"/>
  <c r="J95" i="8" s="1"/>
  <c r="I80" i="8"/>
  <c r="I95" i="8" s="1"/>
  <c r="N77" i="8"/>
  <c r="M77" i="8"/>
  <c r="L77" i="8"/>
  <c r="J77" i="8"/>
  <c r="I77" i="8"/>
  <c r="O68" i="8"/>
  <c r="N68" i="8"/>
  <c r="M68" i="8"/>
  <c r="L68" i="8"/>
  <c r="K68" i="8"/>
  <c r="J68" i="8"/>
  <c r="I68" i="8"/>
  <c r="O63" i="8"/>
  <c r="N63" i="8"/>
  <c r="M63" i="8"/>
  <c r="L63" i="8"/>
  <c r="K63" i="8"/>
  <c r="J63" i="8"/>
  <c r="I63" i="8"/>
  <c r="O60" i="8"/>
  <c r="N60" i="8"/>
  <c r="M60" i="8"/>
  <c r="L60" i="8"/>
  <c r="K60" i="8"/>
  <c r="J60" i="8"/>
  <c r="I60" i="8"/>
  <c r="O47" i="8"/>
  <c r="N47" i="8"/>
  <c r="M47" i="8"/>
  <c r="L47" i="8"/>
  <c r="K47" i="8"/>
  <c r="J47" i="8"/>
  <c r="I47" i="8"/>
  <c r="O43" i="8"/>
  <c r="N43" i="8"/>
  <c r="M43" i="8"/>
  <c r="L43" i="8"/>
  <c r="K43" i="8"/>
  <c r="J43" i="8"/>
  <c r="I43" i="8"/>
  <c r="O34" i="8"/>
  <c r="N34" i="8"/>
  <c r="M34" i="8"/>
  <c r="L34" i="8"/>
  <c r="K34" i="8"/>
  <c r="J34" i="8"/>
  <c r="I34" i="8"/>
  <c r="O25" i="8"/>
  <c r="N25" i="8"/>
  <c r="M25" i="8"/>
  <c r="L25" i="8"/>
  <c r="K25" i="8"/>
  <c r="J25" i="8"/>
  <c r="I25" i="8"/>
  <c r="O19" i="8"/>
  <c r="N19" i="8"/>
  <c r="M19" i="8"/>
  <c r="L19" i="8"/>
  <c r="K19" i="8"/>
  <c r="J19" i="8"/>
  <c r="I19" i="8"/>
  <c r="O16" i="8"/>
  <c r="N16" i="8"/>
  <c r="M16" i="8"/>
  <c r="L16" i="8"/>
  <c r="K16" i="8"/>
  <c r="J16" i="8"/>
  <c r="I16" i="8"/>
  <c r="O5" i="8"/>
  <c r="N5" i="8"/>
  <c r="M5" i="8"/>
  <c r="L5" i="8"/>
  <c r="K5" i="8"/>
  <c r="J5" i="8"/>
  <c r="I5" i="8"/>
  <c r="J32" i="8" l="1"/>
  <c r="J41" i="8" s="1"/>
  <c r="N32" i="8"/>
  <c r="N53" i="8" s="1"/>
  <c r="K32" i="8"/>
  <c r="K53" i="8" s="1"/>
  <c r="O32" i="8"/>
  <c r="O53" i="8" s="1"/>
  <c r="P32" i="8"/>
  <c r="P53" i="8" s="1"/>
  <c r="I32" i="8"/>
  <c r="I53" i="8" s="1"/>
  <c r="M32" i="8"/>
  <c r="M53" i="8" s="1"/>
  <c r="L32" i="8"/>
  <c r="L41" i="8" s="1"/>
  <c r="Q32" i="8"/>
  <c r="Q41" i="8" s="1"/>
  <c r="P41" i="8"/>
  <c r="O41" i="8"/>
  <c r="K77" i="8"/>
  <c r="O77" i="8"/>
  <c r="H80" i="8"/>
  <c r="H95" i="8" s="1"/>
  <c r="G80" i="8"/>
  <c r="H72" i="8"/>
  <c r="H77" i="8" s="1"/>
  <c r="G72" i="8"/>
  <c r="F72" i="8"/>
  <c r="H96" i="8"/>
  <c r="H68" i="8"/>
  <c r="H63" i="8"/>
  <c r="H60" i="8"/>
  <c r="H43" i="8"/>
  <c r="H34" i="8"/>
  <c r="H25" i="8"/>
  <c r="H19" i="8"/>
  <c r="H16" i="8"/>
  <c r="H5" i="8"/>
  <c r="K41" i="8" l="1"/>
  <c r="L53" i="8"/>
  <c r="M41" i="8"/>
  <c r="J53" i="8"/>
  <c r="J91" i="8" s="1"/>
  <c r="Q53" i="8"/>
  <c r="Q92" i="8" s="1"/>
  <c r="N41" i="8"/>
  <c r="I41" i="8"/>
  <c r="P92" i="8"/>
  <c r="P91" i="8"/>
  <c r="P56" i="8"/>
  <c r="K56" i="8"/>
  <c r="K91" i="8"/>
  <c r="K92" i="8"/>
  <c r="L91" i="8"/>
  <c r="L92" i="8"/>
  <c r="L56" i="8"/>
  <c r="I92" i="8"/>
  <c r="I56" i="8"/>
  <c r="I91" i="8"/>
  <c r="O56" i="8"/>
  <c r="O91" i="8"/>
  <c r="O92" i="8"/>
  <c r="N56" i="8"/>
  <c r="N91" i="8"/>
  <c r="N92" i="8"/>
  <c r="M92" i="8"/>
  <c r="M56" i="8"/>
  <c r="M91" i="8"/>
  <c r="H32" i="8"/>
  <c r="H41" i="8" s="1"/>
  <c r="J56" i="8" l="1"/>
  <c r="J57" i="8" s="1"/>
  <c r="Q56" i="8"/>
  <c r="Q73" i="8" s="1"/>
  <c r="Q71" i="8" s="1"/>
  <c r="Q91" i="8"/>
  <c r="J92" i="8"/>
  <c r="P73" i="8"/>
  <c r="P71" i="8" s="1"/>
  <c r="P62" i="8"/>
  <c r="P57" i="8"/>
  <c r="O73" i="8"/>
  <c r="O71" i="8" s="1"/>
  <c r="O57" i="8"/>
  <c r="O62" i="8"/>
  <c r="L57" i="8"/>
  <c r="L62" i="8"/>
  <c r="L73" i="8"/>
  <c r="L71" i="8" s="1"/>
  <c r="K73" i="8"/>
  <c r="K71" i="8" s="1"/>
  <c r="K57" i="8"/>
  <c r="K62" i="8"/>
  <c r="M62" i="8"/>
  <c r="M73" i="8"/>
  <c r="M71" i="8" s="1"/>
  <c r="M57" i="8"/>
  <c r="N62" i="8"/>
  <c r="N73" i="8"/>
  <c r="N71" i="8" s="1"/>
  <c r="N57" i="8"/>
  <c r="I62" i="8"/>
  <c r="I73" i="8"/>
  <c r="I71" i="8" s="1"/>
  <c r="I57" i="8"/>
  <c r="G96" i="8"/>
  <c r="G95" i="8"/>
  <c r="G77" i="8"/>
  <c r="G68" i="8"/>
  <c r="G63" i="8"/>
  <c r="G60" i="8"/>
  <c r="G47" i="8"/>
  <c r="G43" i="8"/>
  <c r="G34" i="8"/>
  <c r="G25" i="8"/>
  <c r="G19" i="8"/>
  <c r="G16" i="8"/>
  <c r="G5" i="8"/>
  <c r="Q57" i="8" l="1"/>
  <c r="J62" i="8"/>
  <c r="J65" i="8" s="1"/>
  <c r="Q62" i="8"/>
  <c r="Q67" i="8" s="1"/>
  <c r="Q69" i="8" s="1"/>
  <c r="Q76" i="8" s="1"/>
  <c r="Q75" i="8" s="1"/>
  <c r="J73" i="8"/>
  <c r="J71" i="8" s="1"/>
  <c r="P67" i="8"/>
  <c r="P69" i="8" s="1"/>
  <c r="P76" i="8" s="1"/>
  <c r="P75" i="8" s="1"/>
  <c r="P65" i="8"/>
  <c r="P64" i="8"/>
  <c r="M65" i="8"/>
  <c r="M67" i="8"/>
  <c r="M69" i="8" s="1"/>
  <c r="M76" i="8" s="1"/>
  <c r="M75" i="8" s="1"/>
  <c r="M64" i="8"/>
  <c r="N67" i="8"/>
  <c r="N69" i="8" s="1"/>
  <c r="N76" i="8" s="1"/>
  <c r="N75" i="8" s="1"/>
  <c r="N64" i="8"/>
  <c r="N65" i="8"/>
  <c r="K64" i="8"/>
  <c r="K65" i="8"/>
  <c r="K67" i="8"/>
  <c r="K69" i="8" s="1"/>
  <c r="K76" i="8" s="1"/>
  <c r="K75" i="8" s="1"/>
  <c r="L64" i="8"/>
  <c r="L65" i="8"/>
  <c r="L67" i="8"/>
  <c r="L69" i="8" s="1"/>
  <c r="L76" i="8" s="1"/>
  <c r="L75" i="8" s="1"/>
  <c r="I65" i="8"/>
  <c r="I67" i="8"/>
  <c r="I69" i="8" s="1"/>
  <c r="I76" i="8" s="1"/>
  <c r="I75" i="8" s="1"/>
  <c r="I64" i="8"/>
  <c r="O64" i="8"/>
  <c r="O65" i="8"/>
  <c r="O67" i="8"/>
  <c r="O69" i="8" s="1"/>
  <c r="O76" i="8" s="1"/>
  <c r="O75" i="8" s="1"/>
  <c r="G32" i="8"/>
  <c r="G41" i="8"/>
  <c r="G53" i="8"/>
  <c r="F80" i="8"/>
  <c r="F95" i="8" s="1"/>
  <c r="F77" i="8"/>
  <c r="F96" i="8"/>
  <c r="F68" i="8"/>
  <c r="F63" i="8"/>
  <c r="F60" i="8"/>
  <c r="F47" i="8"/>
  <c r="F43" i="8"/>
  <c r="F34" i="8"/>
  <c r="F25" i="8"/>
  <c r="F19" i="8"/>
  <c r="F16" i="8"/>
  <c r="F5" i="8"/>
  <c r="Q64" i="8" l="1"/>
  <c r="J64" i="8"/>
  <c r="J67" i="8"/>
  <c r="J69" i="8" s="1"/>
  <c r="J76" i="8" s="1"/>
  <c r="J75" i="8" s="1"/>
  <c r="Q65" i="8"/>
  <c r="G56" i="8"/>
  <c r="G92" i="8"/>
  <c r="G91" i="8"/>
  <c r="F32" i="8"/>
  <c r="F53" i="8"/>
  <c r="F41" i="8"/>
  <c r="G73" i="8" l="1"/>
  <c r="G71" i="8" s="1"/>
  <c r="G62" i="8"/>
  <c r="G57" i="8"/>
  <c r="F92" i="8"/>
  <c r="F91" i="8"/>
  <c r="F56" i="8"/>
  <c r="F57" i="8" s="1"/>
  <c r="G67" i="8" l="1"/>
  <c r="G69" i="8" s="1"/>
  <c r="G76" i="8" s="1"/>
  <c r="G75" i="8" s="1"/>
  <c r="G65" i="8"/>
  <c r="G64" i="8"/>
  <c r="F73" i="8"/>
  <c r="F71" i="8" s="1"/>
  <c r="F62" i="8"/>
  <c r="F67" i="8" l="1"/>
  <c r="F69" i="8" s="1"/>
  <c r="F76" i="8" s="1"/>
  <c r="F75" i="8" s="1"/>
  <c r="F65" i="8"/>
  <c r="F64" i="8"/>
  <c r="C80" i="8" l="1"/>
  <c r="E77" i="8"/>
  <c r="D77" i="8"/>
  <c r="C77" i="8"/>
  <c r="D60" i="8"/>
  <c r="C60" i="8"/>
  <c r="D4" i="8"/>
  <c r="E4" i="8" s="1"/>
  <c r="F4" i="8" s="1"/>
  <c r="G4" i="8" s="1"/>
  <c r="H4" i="8" s="1"/>
  <c r="I4" i="8" s="1"/>
  <c r="J4" i="8" s="1"/>
  <c r="K4" i="8" s="1"/>
  <c r="L4" i="8" s="1"/>
  <c r="M4" i="8" s="1"/>
  <c r="N4" i="8" s="1"/>
  <c r="O4" i="8" s="1"/>
  <c r="P4" i="8" s="1"/>
  <c r="Q4" i="8" s="1"/>
  <c r="C34" i="8" l="1"/>
  <c r="D34" i="8"/>
  <c r="E34" i="8"/>
  <c r="E96" i="8"/>
  <c r="D96" i="8"/>
  <c r="C96" i="8"/>
  <c r="E80" i="8"/>
  <c r="D80" i="8"/>
  <c r="E68" i="8"/>
  <c r="D68" i="8"/>
  <c r="C68" i="8"/>
  <c r="E63" i="8"/>
  <c r="D63" i="8"/>
  <c r="C63" i="8"/>
  <c r="E60" i="8"/>
  <c r="E47" i="8"/>
  <c r="D47" i="8"/>
  <c r="C47" i="8"/>
  <c r="E43" i="8"/>
  <c r="D43" i="8"/>
  <c r="C43" i="8"/>
  <c r="E25" i="8"/>
  <c r="D25" i="8"/>
  <c r="C25" i="8"/>
  <c r="E19" i="8"/>
  <c r="D19" i="8"/>
  <c r="C19" i="8"/>
  <c r="E16" i="8"/>
  <c r="D16" i="8"/>
  <c r="C16" i="8"/>
  <c r="E5" i="8"/>
  <c r="D5" i="8"/>
  <c r="C5" i="8"/>
  <c r="D95" i="8" l="1"/>
  <c r="E95" i="8"/>
  <c r="C95" i="8"/>
  <c r="E32" i="8"/>
  <c r="E41" i="8" s="1"/>
  <c r="C32" i="8"/>
  <c r="C53" i="8" s="1"/>
  <c r="D32" i="8"/>
  <c r="D41" i="8" s="1"/>
  <c r="D53" i="8" l="1"/>
  <c r="D92" i="8" s="1"/>
  <c r="E53" i="8"/>
  <c r="E56" i="8" s="1"/>
  <c r="C41" i="8"/>
  <c r="C56" i="8"/>
  <c r="C92" i="8"/>
  <c r="C91" i="8"/>
  <c r="D91" i="8" l="1"/>
  <c r="D56" i="8"/>
  <c r="D73" i="8" s="1"/>
  <c r="D71" i="8" s="1"/>
  <c r="E92" i="8"/>
  <c r="E91" i="8"/>
  <c r="C73" i="8"/>
  <c r="C71" i="8" s="1"/>
  <c r="C62" i="8"/>
  <c r="C65" i="8" s="1"/>
  <c r="C57" i="8"/>
  <c r="E73" i="8"/>
  <c r="E71" i="8" s="1"/>
  <c r="E62" i="8"/>
  <c r="E57" i="8"/>
  <c r="D57" i="8" l="1"/>
  <c r="D62" i="8"/>
  <c r="D64" i="8" s="1"/>
  <c r="C64" i="8"/>
  <c r="C67" i="8"/>
  <c r="C69" i="8" s="1"/>
  <c r="C76" i="8" s="1"/>
  <c r="C75" i="8" s="1"/>
  <c r="E65" i="8"/>
  <c r="E64" i="8"/>
  <c r="E67" i="8"/>
  <c r="E69" i="8" s="1"/>
  <c r="E76" i="8" s="1"/>
  <c r="E75" i="8" s="1"/>
  <c r="D67" i="8" l="1"/>
  <c r="D69" i="8" s="1"/>
  <c r="D76" i="8" s="1"/>
  <c r="D75" i="8" s="1"/>
  <c r="D65" i="8"/>
  <c r="C1" i="6" l="1"/>
  <c r="H53" i="8"/>
  <c r="H92" i="8" s="1"/>
  <c r="H47" i="8"/>
  <c r="H91" i="8" l="1"/>
  <c r="H56" i="8"/>
  <c r="H57" i="8" l="1"/>
  <c r="H73" i="8"/>
  <c r="H71" i="8" s="1"/>
  <c r="H62" i="8"/>
  <c r="H64" i="8" l="1"/>
  <c r="H67" i="8"/>
  <c r="H69" i="8" s="1"/>
  <c r="H76" i="8" s="1"/>
  <c r="H75" i="8" s="1"/>
  <c r="H65" i="8"/>
</calcChain>
</file>

<file path=xl/sharedStrings.xml><?xml version="1.0" encoding="utf-8"?>
<sst xmlns="http://schemas.openxmlformats.org/spreadsheetml/2006/main" count="863" uniqueCount="185">
  <si>
    <t>Classificação ANBIMA</t>
  </si>
  <si>
    <t>Custodiante</t>
  </si>
  <si>
    <t>Administrador</t>
  </si>
  <si>
    <t>Objetivo</t>
  </si>
  <si>
    <t>Gestor</t>
  </si>
  <si>
    <t>Escriturador</t>
  </si>
  <si>
    <t>Auditor Independente</t>
  </si>
  <si>
    <t>Taxa de Administração</t>
  </si>
  <si>
    <t>Taxa de Performance</t>
  </si>
  <si>
    <t>Mensal, sendo que será distribuído no mínimo 95% do lucro auferido pelo Fundo semestralmente em regime de caixa.</t>
  </si>
  <si>
    <t>Negociação</t>
  </si>
  <si>
    <t>Ernst Young Auditores Independentes S/S</t>
  </si>
  <si>
    <t>Distribuição de Rendimentos</t>
  </si>
  <si>
    <t>Estado</t>
  </si>
  <si>
    <t>Vórtx Distribuidora de Títulos e Valores Mobiliários Ltda.</t>
  </si>
  <si>
    <t>Demonstrativo do Resultado do Exercício (Base Caixa)</t>
  </si>
  <si>
    <t>Receitas propriedades para investimentos</t>
  </si>
  <si>
    <t>Receita de aluguel</t>
  </si>
  <si>
    <t>(-) Provisão para crédito de liquidação duvidosa</t>
  </si>
  <si>
    <t>Reversão provisão para crédito de liquidação duvidosa</t>
  </si>
  <si>
    <t>Receitas de  multas e juros recebidos</t>
  </si>
  <si>
    <t>Receitas de vendas de propriedade para investimento</t>
  </si>
  <si>
    <t>Receita com multa rescisória</t>
  </si>
  <si>
    <t>Receita com estacionamento</t>
  </si>
  <si>
    <t>(-) Despesas com tributos municipais, estaduais e federais</t>
  </si>
  <si>
    <t>Outras Receitas</t>
  </si>
  <si>
    <t>Custo propriedades para investimento</t>
  </si>
  <si>
    <t>Custo de  propriedades para investimentos vendidas</t>
  </si>
  <si>
    <t>Despesa juros e atualização monetária de Captação e aquisição de imóveis</t>
  </si>
  <si>
    <t>Despesas de juros com obrigações por compra de imóveis</t>
  </si>
  <si>
    <t>Despesas de atualização monetária com obrigações por compra de imóveis</t>
  </si>
  <si>
    <t>Despesas de juros com captação de recursos</t>
  </si>
  <si>
    <t>Despesas de atualização monetária com captação de recursos</t>
  </si>
  <si>
    <t>Despesa administrativa dos imóveis</t>
  </si>
  <si>
    <t>Despesas de comissões</t>
  </si>
  <si>
    <t>Despesa administração do imóvel</t>
  </si>
  <si>
    <t>Despesas de condomínio</t>
  </si>
  <si>
    <t>Despesa de reparos, manutenção e conservação de imóveis</t>
  </si>
  <si>
    <t>Outras despesas de propriedade</t>
  </si>
  <si>
    <t>Resultado de propriedade de investimentos</t>
  </si>
  <si>
    <t>Resultado de Ativos Financeiros de Natureza Imobiliária</t>
  </si>
  <si>
    <t>Certificados de recebivéis imobiliários (CRI)</t>
  </si>
  <si>
    <t xml:space="preserve"> Letras de crédito imobiliário </t>
  </si>
  <si>
    <t>Rendimentos de Cotas de Fundos Imobiliários</t>
  </si>
  <si>
    <t>Ajuste ao valor justo (CRI)</t>
  </si>
  <si>
    <t>Ajuste ao valor justo (cotas de fundos imobiliários)</t>
  </si>
  <si>
    <t>Resultado líquido de atividades imobiliárias</t>
  </si>
  <si>
    <t>Outros Ativos Financeiros</t>
  </si>
  <si>
    <t>Receita com títulos públicos (líquida de impostos)</t>
  </si>
  <si>
    <t>Receitas com cotas de fundo de renda fixa (líquida de impostos)</t>
  </si>
  <si>
    <t>Receitas (despesas) operacionais</t>
  </si>
  <si>
    <t>Despesas de Gestão</t>
  </si>
  <si>
    <t>Taxa de administração - Fundo</t>
  </si>
  <si>
    <t>Outras despesas operacionais</t>
  </si>
  <si>
    <t>Lucro líquido do período</t>
  </si>
  <si>
    <t>Ajuste na distribuição</t>
  </si>
  <si>
    <t>Lucro líquido ajustado do período</t>
  </si>
  <si>
    <t>Resultado  por cota</t>
  </si>
  <si>
    <t>Quantidade de cotas</t>
  </si>
  <si>
    <t>Distribuição/Cota</t>
  </si>
  <si>
    <t>Distribuição Total</t>
  </si>
  <si>
    <t>FFO - Funds From Operation</t>
  </si>
  <si>
    <t>Outros Ajustes</t>
  </si>
  <si>
    <t>%FFO</t>
  </si>
  <si>
    <t>FFO (R$/Cota)</t>
  </si>
  <si>
    <t>FFO Ajustado *</t>
  </si>
  <si>
    <t>Despesas financeiras não-caixa</t>
  </si>
  <si>
    <t>FFO Ajustado * / Cota</t>
  </si>
  <si>
    <t>Preço / Lucro (P/E)</t>
  </si>
  <si>
    <t>Valor de Mercado</t>
  </si>
  <si>
    <t>Lucro</t>
  </si>
  <si>
    <t>Rentabilidade (FFO Ajustado Anualizado / Preço)</t>
  </si>
  <si>
    <t>Valor de Fechamento</t>
  </si>
  <si>
    <t>Balanço do Fundo</t>
  </si>
  <si>
    <t>Ativo Circulante</t>
  </si>
  <si>
    <t>Caixa do FII</t>
  </si>
  <si>
    <t>Outros Ativos Circulante</t>
  </si>
  <si>
    <t>Ativo Não Circulante</t>
  </si>
  <si>
    <t>Imóveis para Renda</t>
  </si>
  <si>
    <t>Outros Ativos Não Circulante</t>
  </si>
  <si>
    <t>Patrimônio Líquido</t>
  </si>
  <si>
    <t>Passivo Circulante</t>
  </si>
  <si>
    <t>Passivo Não Circulante</t>
  </si>
  <si>
    <t>Análise do Balanço</t>
  </si>
  <si>
    <t>Margem Líquida (Resultado Líquido / Receita Operacional Líquida)</t>
  </si>
  <si>
    <t>ROE (Resultado Líquido / (PL Médio - Resultado Líquido)</t>
  </si>
  <si>
    <t>Índices de Estutura de Capital</t>
  </si>
  <si>
    <t>Paritcipação de Capital de Terceiros (Passivo Circulante + Exigivel a longo prazo) / Ativo</t>
  </si>
  <si>
    <t>Imobilização do PL (Ativo Permanente / PL)</t>
  </si>
  <si>
    <t>Cidade</t>
  </si>
  <si>
    <t>Endereço</t>
  </si>
  <si>
    <t>Tipo de contrato</t>
  </si>
  <si>
    <t>Típico</t>
  </si>
  <si>
    <t>Vencimento contrato</t>
  </si>
  <si>
    <t>Reajuste anual por 
correção monetária</t>
  </si>
  <si>
    <t>Índice de 
correção monetária</t>
  </si>
  <si>
    <t>O XP Industrial busca oferecer rentabilidade aos seus cotistas através da distribuição da renda gerada com a exploração imobiliária de galpões industriais detidos pelo Fundo.</t>
  </si>
  <si>
    <t>FII Renda/Gestão Ativa/Outros</t>
  </si>
  <si>
    <t>XP Vista Asset Management Ltda.</t>
  </si>
  <si>
    <t>Não será cobrada taxa de performance pelo Fundo.</t>
  </si>
  <si>
    <t>As cotas são negociadas na B3 sob o código XPIN11.</t>
  </si>
  <si>
    <t>São Paulo</t>
  </si>
  <si>
    <t>Atibaia</t>
  </si>
  <si>
    <t>Condomínio</t>
  </si>
  <si>
    <t>BM</t>
  </si>
  <si>
    <t>CEA</t>
  </si>
  <si>
    <t>IPCA</t>
  </si>
  <si>
    <t>janeiro</t>
  </si>
  <si>
    <t>março</t>
  </si>
  <si>
    <t>abril</t>
  </si>
  <si>
    <t>maio</t>
  </si>
  <si>
    <t>agosto</t>
  </si>
  <si>
    <t>setembro</t>
  </si>
  <si>
    <t>outubro</t>
  </si>
  <si>
    <t>novembro</t>
  </si>
  <si>
    <t>dezembro</t>
  </si>
  <si>
    <t>Locatário</t>
  </si>
  <si>
    <t>Litens</t>
  </si>
  <si>
    <t>SMP</t>
  </si>
  <si>
    <t>Norma</t>
  </si>
  <si>
    <t>APS</t>
  </si>
  <si>
    <t>Viskase</t>
  </si>
  <si>
    <t>Recordati</t>
  </si>
  <si>
    <t>Hannon</t>
  </si>
  <si>
    <t>Sunningdale</t>
  </si>
  <si>
    <t>SPLack</t>
  </si>
  <si>
    <t>Althaia</t>
  </si>
  <si>
    <t>Smart</t>
  </si>
  <si>
    <t>THC</t>
  </si>
  <si>
    <t>COOPER</t>
  </si>
  <si>
    <t>Rod. Dom Pedro I, km. 87</t>
  </si>
  <si>
    <t>n/a</t>
  </si>
  <si>
    <t>XP Industrial Fundo de Investimento Imobiliário - FII</t>
  </si>
  <si>
    <t>Valor de Mercado do Fundo</t>
  </si>
  <si>
    <t>Até R$500M</t>
  </si>
  <si>
    <t>De R$500M até R$1bi</t>
  </si>
  <si>
    <t>0,75% a.a.</t>
  </si>
  <si>
    <t>0,70% a.a.</t>
  </si>
  <si>
    <t>De R$1bi até R$1,5bi</t>
  </si>
  <si>
    <t>0,65% a.a.</t>
  </si>
  <si>
    <t>0,60% a.a.</t>
  </si>
  <si>
    <t>Acima de R$1,5bi</t>
  </si>
  <si>
    <t>Valor mínimo mensal: R$ 25.000,00, atualizado anualmente segundo a variação do IPCA/IBGE</t>
  </si>
  <si>
    <t>Vago</t>
  </si>
  <si>
    <t>n.a.</t>
  </si>
  <si>
    <t>Prêmio</t>
  </si>
  <si>
    <t>GAIA</t>
  </si>
  <si>
    <t>Rod Dom Pedro I, km 87,5, Ponte Alta, 12954-261</t>
  </si>
  <si>
    <r>
      <rPr>
        <b/>
        <sz val="11"/>
        <color theme="1"/>
        <rFont val="Calibri"/>
        <family val="2"/>
        <scheme val="minor"/>
      </rPr>
      <t>Observação geral:</t>
    </r>
    <r>
      <rPr>
        <sz val="11"/>
        <color theme="1"/>
        <rFont val="Calibri"/>
        <family val="2"/>
        <scheme val="minor"/>
      </rPr>
      <t xml:space="preserve"> em virtude da auditoria anual, os números são preliminares</t>
    </r>
  </si>
  <si>
    <t>Área</t>
  </si>
  <si>
    <t>Obs.: cálculo em regra de cascata conforme regulamento</t>
  </si>
  <si>
    <t>Avenida Tégula, 888, bairro Ponte Alta</t>
  </si>
  <si>
    <t>Mcassab</t>
  </si>
  <si>
    <t>Bruker / SMP</t>
  </si>
  <si>
    <t>Smart 2</t>
  </si>
  <si>
    <t>IGP-M / FGV</t>
  </si>
  <si>
    <t>Centauro</t>
  </si>
  <si>
    <t>Sinal Verde</t>
  </si>
  <si>
    <t>MD Serviços</t>
  </si>
  <si>
    <t>M.A.F</t>
  </si>
  <si>
    <t>Acer</t>
  </si>
  <si>
    <t>Compalead</t>
  </si>
  <si>
    <t>Polishop</t>
  </si>
  <si>
    <t>Atlas Logística</t>
  </si>
  <si>
    <t>Brasilata</t>
  </si>
  <si>
    <t>Kisabor</t>
  </si>
  <si>
    <t>Constanta</t>
  </si>
  <si>
    <t>Open Labs</t>
  </si>
  <si>
    <t>Intercos</t>
  </si>
  <si>
    <t>Albatroz</t>
  </si>
  <si>
    <t>Estrada Municipal Alberto Tofanin, km 5,5, Bairro do Pinhal</t>
  </si>
  <si>
    <t>Rua Kanebo, 175, bairro Distrito Federal</t>
  </si>
  <si>
    <t>Rodovia Anhanguera, km 61 - Bairro castanho</t>
  </si>
  <si>
    <t>Rodovia Dom Pedro I, km 87, Pista Norte, Ponte Alta</t>
  </si>
  <si>
    <t>Rodovia Dom Pedro I, km 90</t>
  </si>
  <si>
    <t>Jarinú, SP</t>
  </si>
  <si>
    <t>Jundiaí, SP</t>
  </si>
  <si>
    <t>Atibaia, SP</t>
  </si>
  <si>
    <t>Andiroba - Gaia</t>
  </si>
  <si>
    <t>GLP Park Jundiai I</t>
  </si>
  <si>
    <t>GLP Park Jundiai II</t>
  </si>
  <si>
    <t>GAIA AR</t>
  </si>
  <si>
    <t>julho</t>
  </si>
  <si>
    <t>junho</t>
  </si>
  <si>
    <t>fevereiro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</si>
</sst>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;\(#,##0\);\-"/>
    <numFmt numFmtId="165" formatCode="[$-416]mmm\-yy;@"/>
    <numFmt numFmtId="166" formatCode="#,##0.00;\(#,##0.00\);\-"/>
    <numFmt numFmtId="167" formatCode="#,##0&quot; m²&quot;"/>
    <numFmt numFmtId="168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3743705557422"/>
      </left>
      <right style="hair">
        <color theme="0" tint="-0.14993743705557422"/>
      </right>
      <top/>
      <bottom style="hair">
        <color theme="0" tint="-0.14996795556505021"/>
      </bottom>
      <diagonal/>
    </border>
    <border>
      <left style="hair">
        <color theme="0" tint="-0.14993743705557422"/>
      </left>
      <right style="hair">
        <color theme="0" tint="-0.14993743705557422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0" tint="-0.14993743705557422"/>
      </left>
      <right style="thin">
        <color theme="0"/>
      </right>
      <top/>
      <bottom/>
      <diagonal/>
    </border>
    <border>
      <left style="hair">
        <color theme="0" tint="-0.14993743705557422"/>
      </left>
      <right style="thin">
        <color theme="0"/>
      </right>
      <top/>
      <bottom style="hair">
        <color theme="0" tint="-0.14996795556505021"/>
      </bottom>
      <diagonal/>
    </border>
    <border>
      <left/>
      <right style="hair">
        <color theme="0" tint="-0.14993743705557422"/>
      </right>
      <top/>
      <bottom/>
      <diagonal/>
    </border>
    <border>
      <left/>
      <right style="hair">
        <color theme="0" tint="-0.14993743705557422"/>
      </right>
      <top/>
      <bottom style="hair">
        <color theme="0" tint="-0.14996795556505021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hair">
        <color theme="0" tint="-0.1499679555650502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164" fontId="0" fillId="0" borderId="13" xfId="0" applyNumberFormat="1" applyFont="1" applyBorder="1" applyAlignment="1">
      <alignment horizontal="center" vertical="center"/>
    </xf>
    <xf numFmtId="164" fontId="0" fillId="0" borderId="12" xfId="0" applyNumberFormat="1" applyFont="1" applyBorder="1" applyAlignment="1">
      <alignment horizontal="center" vertical="center"/>
    </xf>
    <xf numFmtId="164" fontId="0" fillId="0" borderId="14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left" vertical="center"/>
    </xf>
    <xf numFmtId="164" fontId="0" fillId="0" borderId="12" xfId="0" applyNumberFormat="1" applyFont="1" applyBorder="1" applyAlignment="1">
      <alignment horizontal="left" vertical="center" indent="2"/>
    </xf>
    <xf numFmtId="164" fontId="0" fillId="0" borderId="2" xfId="0" applyNumberFormat="1" applyFont="1" applyBorder="1" applyAlignment="1">
      <alignment horizontal="left" vertical="center" indent="2"/>
    </xf>
    <xf numFmtId="0" fontId="0" fillId="0" borderId="13" xfId="0" applyFont="1" applyBorder="1" applyAlignment="1">
      <alignment horizontal="left" vertical="center"/>
    </xf>
    <xf numFmtId="164" fontId="1" fillId="0" borderId="14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1" fillId="0" borderId="14" xfId="0" applyNumberFormat="1" applyFont="1" applyBorder="1" applyAlignment="1">
      <alignment horizontal="left" vertical="center"/>
    </xf>
    <xf numFmtId="166" fontId="0" fillId="0" borderId="12" xfId="0" applyNumberFormat="1" applyFont="1" applyBorder="1" applyAlignment="1">
      <alignment horizontal="center" vertical="center"/>
    </xf>
    <xf numFmtId="166" fontId="0" fillId="0" borderId="2" xfId="0" applyNumberFormat="1" applyFont="1" applyBorder="1" applyAlignment="1">
      <alignment horizontal="center" vertical="center"/>
    </xf>
    <xf numFmtId="10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0" borderId="12" xfId="0" applyNumberFormat="1" applyFont="1" applyBorder="1" applyAlignment="1">
      <alignment horizontal="center" vertical="center"/>
    </xf>
    <xf numFmtId="3" fontId="0" fillId="0" borderId="12" xfId="0" applyNumberFormat="1" applyFont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10" fontId="1" fillId="0" borderId="13" xfId="0" applyNumberFormat="1" applyFont="1" applyBorder="1" applyAlignment="1">
      <alignment horizontal="center" vertical="center"/>
    </xf>
    <xf numFmtId="10" fontId="1" fillId="0" borderId="14" xfId="0" applyNumberFormat="1" applyFont="1" applyBorder="1" applyAlignment="1">
      <alignment horizontal="center" vertical="center"/>
    </xf>
    <xf numFmtId="10" fontId="0" fillId="0" borderId="12" xfId="0" applyNumberFormat="1" applyFont="1" applyBorder="1" applyAlignment="1">
      <alignment horizontal="center" vertical="center"/>
    </xf>
    <xf numFmtId="167" fontId="0" fillId="0" borderId="3" xfId="0" applyNumberFormat="1" applyFont="1" applyBorder="1" applyAlignment="1">
      <alignment horizontal="center" vertical="center"/>
    </xf>
    <xf numFmtId="15" fontId="0" fillId="0" borderId="3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Alignment="1">
      <alignment horizontal="center" vertical="center"/>
    </xf>
    <xf numFmtId="4" fontId="0" fillId="0" borderId="3" xfId="0" applyNumberFormat="1" applyFont="1" applyBorder="1" applyAlignment="1">
      <alignment horizontal="center" vertical="center"/>
    </xf>
    <xf numFmtId="17" fontId="0" fillId="0" borderId="3" xfId="0" applyNumberFormat="1" applyFont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left" vertical="center" indent="2"/>
    </xf>
    <xf numFmtId="164" fontId="1" fillId="0" borderId="12" xfId="0" applyNumberFormat="1" applyFont="1" applyBorder="1" applyAlignment="1">
      <alignment horizontal="center" vertical="center"/>
    </xf>
    <xf numFmtId="168" fontId="3" fillId="0" borderId="0" xfId="1" applyNumberFormat="1" applyFont="1" applyAlignment="1">
      <alignment vertical="center"/>
    </xf>
    <xf numFmtId="168" fontId="1" fillId="0" borderId="0" xfId="1" applyNumberFormat="1" applyFont="1" applyAlignment="1">
      <alignment vertical="center"/>
    </xf>
    <xf numFmtId="168" fontId="0" fillId="0" borderId="0" xfId="1" applyNumberFormat="1" applyFont="1" applyAlignment="1">
      <alignment vertical="center"/>
    </xf>
    <xf numFmtId="164" fontId="1" fillId="0" borderId="2" xfId="0" applyNumberFormat="1" applyFont="1" applyBorder="1" applyAlignment="1">
      <alignment horizontal="left" vertical="center" indent="2"/>
    </xf>
    <xf numFmtId="4" fontId="1" fillId="0" borderId="2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182033</xdr:colOff>
      <xdr:row>0</xdr:row>
      <xdr:rowOff>132292</xdr:rowOff>
    </xdr:from>
    <xdr:to>
      <xdr:col>6</xdr:col>
      <xdr:colOff>591608</xdr:colOff>
      <xdr:row>3</xdr:row>
      <xdr:rowOff>160867</xdr:rowOff>
    </xdr:to>
    <xdr:pic>
      <xdr:nvPicPr>
        <xdr:cNvPr id="5" name="Imagem 8">
          <a:extLst>
            <a:ext uri="{FF2B5EF4-FFF2-40B4-BE49-F238E27FC236}">
              <a16:creationId xmlns:a16="http://schemas.microsoft.com/office/drawing/2014/main" id="{AF842FA4-54B7-4531-99DD-974222FB6B6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33" y="132292"/>
          <a:ext cx="367982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178595</xdr:colOff>
      <xdr:row>0</xdr:row>
      <xdr:rowOff>130969</xdr:rowOff>
    </xdr:from>
    <xdr:to>
      <xdr:col>4</xdr:col>
      <xdr:colOff>536576</xdr:colOff>
      <xdr:row>1</xdr:row>
      <xdr:rowOff>16669</xdr:rowOff>
    </xdr:to>
    <xdr:pic>
      <xdr:nvPicPr>
        <xdr:cNvPr id="4" name="Imagem 8">
          <a:extLst>
            <a:ext uri="{FF2B5EF4-FFF2-40B4-BE49-F238E27FC236}">
              <a16:creationId xmlns:a16="http://schemas.microsoft.com/office/drawing/2014/main" id="{0FF7E675-10B7-41B8-8D0A-62A1DEE2C6C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595" y="130969"/>
          <a:ext cx="367982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114300</xdr:rowOff>
    </xdr:from>
    <xdr:to>
      <xdr:col>1</xdr:col>
      <xdr:colOff>3644106</xdr:colOff>
      <xdr:row>1</xdr:row>
      <xdr:rowOff>0</xdr:rowOff>
    </xdr:to>
    <xdr:pic>
      <xdr:nvPicPr>
        <xdr:cNvPr id="4" name="Imagem 8">
          <a:extLst>
            <a:ext uri="{FF2B5EF4-FFF2-40B4-BE49-F238E27FC236}">
              <a16:creationId xmlns:a16="http://schemas.microsoft.com/office/drawing/2014/main" id="{9F55C76F-DA7F-4E9A-9A64-7E4D5507737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4300"/>
          <a:ext cx="3672681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36"/>
  <sheetViews>
    <sheetView showGridLines="0" showRowColHeaders="0" zoomScale="90" zoomScaleNormal="90" workbookViewId="0"/>
  </sheetViews>
  <sheetFormatPr defaultRowHeight="15" x14ac:dyDescent="0.25"/>
  <cols>
    <col min="1" max="1" width="3" customWidth="1"/>
    <col min="2" max="5" width="9.140625" customWidth="1"/>
    <col min="7" max="8" width="9.28515625" customWidth="1"/>
  </cols>
  <sheetData>
    <row r="5" spans="2:6" ht="15.75" x14ac:dyDescent="0.25">
      <c r="B5" s="2" t="s">
        <v>132</v>
      </c>
    </row>
    <row r="7" spans="2:6" x14ac:dyDescent="0.25">
      <c r="B7" s="1" t="s">
        <v>3</v>
      </c>
      <c r="F7" t="s">
        <v>96</v>
      </c>
    </row>
    <row r="9" spans="2:6" x14ac:dyDescent="0.25">
      <c r="B9" s="1" t="s">
        <v>0</v>
      </c>
      <c r="F9" t="s">
        <v>97</v>
      </c>
    </row>
    <row r="11" spans="2:6" x14ac:dyDescent="0.25">
      <c r="B11" s="1" t="s">
        <v>2</v>
      </c>
      <c r="F11" t="s">
        <v>14</v>
      </c>
    </row>
    <row r="13" spans="2:6" x14ac:dyDescent="0.25">
      <c r="B13" s="1" t="s">
        <v>1</v>
      </c>
      <c r="F13" t="s">
        <v>14</v>
      </c>
    </row>
    <row r="15" spans="2:6" x14ac:dyDescent="0.25">
      <c r="B15" s="1" t="s">
        <v>4</v>
      </c>
      <c r="F15" t="s">
        <v>98</v>
      </c>
    </row>
    <row r="17" spans="2:8" x14ac:dyDescent="0.25">
      <c r="B17" s="1" t="s">
        <v>5</v>
      </c>
      <c r="F17" t="s">
        <v>14</v>
      </c>
    </row>
    <row r="19" spans="2:8" x14ac:dyDescent="0.25">
      <c r="B19" s="1" t="s">
        <v>6</v>
      </c>
      <c r="F19" t="s">
        <v>11</v>
      </c>
    </row>
    <row r="21" spans="2:8" x14ac:dyDescent="0.25">
      <c r="B21" s="1" t="s">
        <v>7</v>
      </c>
    </row>
    <row r="23" spans="2:8" x14ac:dyDescent="0.25">
      <c r="C23" s="51" t="s">
        <v>133</v>
      </c>
      <c r="D23" s="51"/>
      <c r="E23" s="51"/>
      <c r="F23" s="52" t="s">
        <v>7</v>
      </c>
      <c r="G23" s="52"/>
      <c r="H23" s="52"/>
    </row>
    <row r="24" spans="2:8" x14ac:dyDescent="0.25">
      <c r="C24" s="53" t="s">
        <v>134</v>
      </c>
      <c r="D24" s="53"/>
      <c r="E24" s="53"/>
      <c r="F24" s="53" t="s">
        <v>136</v>
      </c>
      <c r="G24" s="53"/>
      <c r="H24" s="53"/>
    </row>
    <row r="25" spans="2:8" x14ac:dyDescent="0.25">
      <c r="C25" s="50" t="s">
        <v>135</v>
      </c>
      <c r="D25" s="50"/>
      <c r="E25" s="50"/>
      <c r="F25" s="50" t="s">
        <v>137</v>
      </c>
      <c r="G25" s="50"/>
      <c r="H25" s="50"/>
    </row>
    <row r="26" spans="2:8" x14ac:dyDescent="0.25">
      <c r="C26" s="50" t="s">
        <v>138</v>
      </c>
      <c r="D26" s="50"/>
      <c r="E26" s="50"/>
      <c r="F26" s="50" t="s">
        <v>139</v>
      </c>
      <c r="G26" s="50"/>
      <c r="H26" s="50"/>
    </row>
    <row r="27" spans="2:8" x14ac:dyDescent="0.25">
      <c r="C27" s="50" t="s">
        <v>141</v>
      </c>
      <c r="D27" s="50"/>
      <c r="E27" s="50"/>
      <c r="F27" s="50" t="s">
        <v>140</v>
      </c>
      <c r="G27" s="50"/>
      <c r="H27" s="50"/>
    </row>
    <row r="29" spans="2:8" x14ac:dyDescent="0.25">
      <c r="C29" t="s">
        <v>142</v>
      </c>
    </row>
    <row r="30" spans="2:8" x14ac:dyDescent="0.25">
      <c r="C30" t="s">
        <v>150</v>
      </c>
    </row>
    <row r="32" spans="2:8" x14ac:dyDescent="0.25">
      <c r="B32" s="1" t="s">
        <v>8</v>
      </c>
      <c r="F32" t="s">
        <v>99</v>
      </c>
    </row>
    <row r="34" spans="2:6" x14ac:dyDescent="0.25">
      <c r="B34" s="1" t="s">
        <v>12</v>
      </c>
      <c r="F34" t="s">
        <v>9</v>
      </c>
    </row>
    <row r="36" spans="2:6" x14ac:dyDescent="0.25">
      <c r="B36" s="1" t="s">
        <v>10</v>
      </c>
      <c r="F36" t="s">
        <v>100</v>
      </c>
    </row>
  </sheetData>
  <mergeCells count="10">
    <mergeCell ref="C27:E27"/>
    <mergeCell ref="F27:H27"/>
    <mergeCell ref="C26:E26"/>
    <mergeCell ref="F26:H26"/>
    <mergeCell ref="C23:E23"/>
    <mergeCell ref="F23:H23"/>
    <mergeCell ref="C24:E24"/>
    <mergeCell ref="F24:H24"/>
    <mergeCell ref="C25:E25"/>
    <mergeCell ref="F25:H2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showGridLines="0" showRowColHeaders="0" topLeftCell="A79" zoomScale="85" zoomScaleNormal="85" workbookViewId="0"/>
  </sheetViews>
  <sheetFormatPr defaultColWidth="9.140625" defaultRowHeight="15.75" customHeight="1" x14ac:dyDescent="0.25"/>
  <cols>
    <col min="1" max="1" width="3.140625" style="3" customWidth="1"/>
    <col min="2" max="2" width="28.7109375" style="10" customWidth="1"/>
    <col min="3" max="3" width="10.7109375" style="4" customWidth="1"/>
    <col min="4" max="4" width="15.7109375" style="4" customWidth="1"/>
    <col min="5" max="6" width="16" style="4" customWidth="1"/>
    <col min="7" max="7" width="46.42578125" style="4" customWidth="1"/>
    <col min="8" max="11" width="22.7109375" style="4" customWidth="1"/>
    <col min="12" max="12" width="9.140625" style="4"/>
    <col min="13" max="13" width="10.85546875" style="47" bestFit="1" customWidth="1"/>
    <col min="14" max="16384" width="9.140625" style="4"/>
  </cols>
  <sheetData>
    <row r="1" spans="1:13" s="3" customFormat="1" ht="56.25" customHeight="1" x14ac:dyDescent="0.25">
      <c r="B1" s="4"/>
      <c r="C1" s="5">
        <f>B1+1</f>
        <v>1</v>
      </c>
      <c r="D1" s="5"/>
      <c r="E1" s="5"/>
      <c r="F1" s="5"/>
      <c r="M1" s="45"/>
    </row>
    <row r="2" spans="1:13" s="3" customFormat="1" ht="15.75" customHeight="1" x14ac:dyDescent="0.25">
      <c r="B2" s="2" t="s">
        <v>132</v>
      </c>
      <c r="C2" s="5"/>
      <c r="D2" s="5"/>
      <c r="E2" s="5"/>
      <c r="F2" s="5"/>
      <c r="M2" s="45"/>
    </row>
    <row r="3" spans="1:13" s="3" customFormat="1" ht="15.75" customHeight="1" x14ac:dyDescent="0.25">
      <c r="B3" s="4"/>
      <c r="C3" s="5"/>
      <c r="D3" s="5"/>
      <c r="E3" s="5"/>
      <c r="F3" s="5"/>
      <c r="M3" s="45"/>
    </row>
    <row r="4" spans="1:13" s="7" customFormat="1" ht="17.25" customHeight="1" x14ac:dyDescent="0.25">
      <c r="A4" s="6"/>
      <c r="B4" s="57" t="s">
        <v>116</v>
      </c>
      <c r="C4" s="59" t="s">
        <v>13</v>
      </c>
      <c r="D4" s="59" t="s">
        <v>89</v>
      </c>
      <c r="E4" s="54" t="s">
        <v>103</v>
      </c>
      <c r="F4" s="54" t="s">
        <v>149</v>
      </c>
      <c r="G4" s="61" t="s">
        <v>90</v>
      </c>
      <c r="H4" s="54" t="s">
        <v>91</v>
      </c>
      <c r="I4" s="56" t="s">
        <v>94</v>
      </c>
      <c r="J4" s="56" t="s">
        <v>95</v>
      </c>
      <c r="K4" s="54" t="s">
        <v>93</v>
      </c>
      <c r="M4" s="46"/>
    </row>
    <row r="5" spans="1:13" s="7" customFormat="1" ht="17.25" customHeight="1" x14ac:dyDescent="0.25">
      <c r="A5" s="6"/>
      <c r="B5" s="58"/>
      <c r="C5" s="60"/>
      <c r="D5" s="60"/>
      <c r="E5" s="55"/>
      <c r="F5" s="55"/>
      <c r="G5" s="62"/>
      <c r="H5" s="55"/>
      <c r="I5" s="55"/>
      <c r="J5" s="55"/>
      <c r="K5" s="55"/>
      <c r="M5" s="46"/>
    </row>
    <row r="6" spans="1:13" ht="15.75" customHeight="1" x14ac:dyDescent="0.25">
      <c r="B6" s="38" t="s">
        <v>117</v>
      </c>
      <c r="C6" s="9" t="s">
        <v>101</v>
      </c>
      <c r="D6" s="9" t="s">
        <v>102</v>
      </c>
      <c r="E6" s="33" t="s">
        <v>104</v>
      </c>
      <c r="F6" s="33">
        <v>1194</v>
      </c>
      <c r="G6" s="33" t="s">
        <v>130</v>
      </c>
      <c r="H6" s="33" t="s">
        <v>92</v>
      </c>
      <c r="I6" s="40" t="s">
        <v>115</v>
      </c>
      <c r="J6" s="40" t="s">
        <v>106</v>
      </c>
      <c r="K6" s="39">
        <v>44895</v>
      </c>
      <c r="M6" s="7"/>
    </row>
    <row r="7" spans="1:13" ht="15.75" customHeight="1" x14ac:dyDescent="0.25">
      <c r="B7" s="38" t="s">
        <v>143</v>
      </c>
      <c r="C7" s="9" t="s">
        <v>101</v>
      </c>
      <c r="D7" s="9" t="s">
        <v>102</v>
      </c>
      <c r="E7" s="33" t="s">
        <v>104</v>
      </c>
      <c r="F7" s="33">
        <v>1460.12</v>
      </c>
      <c r="G7" s="33" t="s">
        <v>130</v>
      </c>
      <c r="H7" s="40" t="s">
        <v>144</v>
      </c>
      <c r="I7" s="40" t="s">
        <v>144</v>
      </c>
      <c r="J7" s="40" t="s">
        <v>144</v>
      </c>
      <c r="K7" s="40" t="s">
        <v>144</v>
      </c>
      <c r="M7" s="7"/>
    </row>
    <row r="8" spans="1:13" ht="15.75" customHeight="1" x14ac:dyDescent="0.25">
      <c r="B8" s="38" t="s">
        <v>117</v>
      </c>
      <c r="C8" s="9" t="s">
        <v>101</v>
      </c>
      <c r="D8" s="9" t="s">
        <v>102</v>
      </c>
      <c r="E8" s="33" t="s">
        <v>104</v>
      </c>
      <c r="F8" s="33">
        <v>3114.76</v>
      </c>
      <c r="G8" s="33" t="s">
        <v>130</v>
      </c>
      <c r="H8" s="33" t="s">
        <v>92</v>
      </c>
      <c r="I8" s="40" t="s">
        <v>114</v>
      </c>
      <c r="J8" s="34" t="s">
        <v>106</v>
      </c>
      <c r="K8" s="39">
        <v>44593</v>
      </c>
      <c r="M8" s="7"/>
    </row>
    <row r="9" spans="1:13" ht="15.75" customHeight="1" x14ac:dyDescent="0.25">
      <c r="B9" s="38" t="s">
        <v>143</v>
      </c>
      <c r="C9" s="9" t="s">
        <v>101</v>
      </c>
      <c r="D9" s="9" t="s">
        <v>102</v>
      </c>
      <c r="E9" s="33" t="s">
        <v>104</v>
      </c>
      <c r="F9" s="33">
        <v>1346.73</v>
      </c>
      <c r="G9" s="33" t="s">
        <v>130</v>
      </c>
      <c r="H9" s="40" t="s">
        <v>144</v>
      </c>
      <c r="I9" s="40" t="s">
        <v>144</v>
      </c>
      <c r="J9" s="40" t="s">
        <v>144</v>
      </c>
      <c r="K9" s="40" t="s">
        <v>144</v>
      </c>
      <c r="M9" s="7"/>
    </row>
    <row r="10" spans="1:13" ht="15.75" customHeight="1" x14ac:dyDescent="0.25">
      <c r="B10" s="38" t="s">
        <v>119</v>
      </c>
      <c r="C10" s="9" t="s">
        <v>101</v>
      </c>
      <c r="D10" s="9" t="s">
        <v>102</v>
      </c>
      <c r="E10" s="33" t="s">
        <v>104</v>
      </c>
      <c r="F10" s="33">
        <v>927.8</v>
      </c>
      <c r="G10" s="33" t="s">
        <v>130</v>
      </c>
      <c r="H10" s="33" t="s">
        <v>92</v>
      </c>
      <c r="I10" s="40" t="s">
        <v>111</v>
      </c>
      <c r="J10" s="34" t="s">
        <v>155</v>
      </c>
      <c r="K10" s="39">
        <v>44073</v>
      </c>
      <c r="M10" s="7"/>
    </row>
    <row r="11" spans="1:13" ht="15.75" customHeight="1" x14ac:dyDescent="0.25">
      <c r="B11" s="38" t="s">
        <v>119</v>
      </c>
      <c r="C11" s="9" t="s">
        <v>101</v>
      </c>
      <c r="D11" s="9" t="s">
        <v>102</v>
      </c>
      <c r="E11" s="33" t="s">
        <v>104</v>
      </c>
      <c r="F11" s="33">
        <v>2251.92</v>
      </c>
      <c r="G11" s="33" t="s">
        <v>130</v>
      </c>
      <c r="H11" s="33" t="s">
        <v>92</v>
      </c>
      <c r="I11" s="40" t="s">
        <v>111</v>
      </c>
      <c r="J11" s="34" t="s">
        <v>155</v>
      </c>
      <c r="K11" s="39">
        <v>44073</v>
      </c>
      <c r="M11" s="7"/>
    </row>
    <row r="12" spans="1:13" ht="15.75" customHeight="1" x14ac:dyDescent="0.25">
      <c r="B12" s="38" t="s">
        <v>119</v>
      </c>
      <c r="C12" s="9" t="s">
        <v>101</v>
      </c>
      <c r="D12" s="9" t="s">
        <v>102</v>
      </c>
      <c r="E12" s="33" t="s">
        <v>104</v>
      </c>
      <c r="F12" s="33">
        <v>2665.71</v>
      </c>
      <c r="G12" s="33" t="s">
        <v>130</v>
      </c>
      <c r="H12" s="33" t="s">
        <v>92</v>
      </c>
      <c r="I12" s="40" t="s">
        <v>111</v>
      </c>
      <c r="J12" s="34" t="s">
        <v>155</v>
      </c>
      <c r="K12" s="39">
        <v>44073</v>
      </c>
      <c r="M12" s="7"/>
    </row>
    <row r="13" spans="1:13" ht="15.75" customHeight="1" x14ac:dyDescent="0.25">
      <c r="B13" s="38" t="s">
        <v>118</v>
      </c>
      <c r="C13" s="9" t="s">
        <v>101</v>
      </c>
      <c r="D13" s="9" t="s">
        <v>102</v>
      </c>
      <c r="E13" s="33" t="s">
        <v>104</v>
      </c>
      <c r="F13" s="33">
        <v>2665.71</v>
      </c>
      <c r="G13" s="33" t="s">
        <v>130</v>
      </c>
      <c r="H13" s="33" t="s">
        <v>92</v>
      </c>
      <c r="I13" s="40" t="s">
        <v>109</v>
      </c>
      <c r="J13" s="34" t="s">
        <v>106</v>
      </c>
      <c r="K13" s="39">
        <v>44650</v>
      </c>
      <c r="M13" s="7"/>
    </row>
    <row r="14" spans="1:13" ht="15.75" customHeight="1" x14ac:dyDescent="0.25">
      <c r="B14" s="38" t="s">
        <v>120</v>
      </c>
      <c r="C14" s="9" t="s">
        <v>101</v>
      </c>
      <c r="D14" s="9" t="s">
        <v>102</v>
      </c>
      <c r="E14" s="33" t="s">
        <v>104</v>
      </c>
      <c r="F14" s="33">
        <v>2692.85</v>
      </c>
      <c r="G14" s="33" t="s">
        <v>130</v>
      </c>
      <c r="H14" s="33" t="s">
        <v>92</v>
      </c>
      <c r="I14" s="40" t="s">
        <v>115</v>
      </c>
      <c r="J14" s="34" t="s">
        <v>106</v>
      </c>
      <c r="K14" s="39">
        <v>44209</v>
      </c>
      <c r="M14" s="7"/>
    </row>
    <row r="15" spans="1:13" ht="15.75" customHeight="1" x14ac:dyDescent="0.25">
      <c r="B15" s="38" t="s">
        <v>121</v>
      </c>
      <c r="C15" s="9" t="s">
        <v>101</v>
      </c>
      <c r="D15" s="9" t="s">
        <v>102</v>
      </c>
      <c r="E15" s="33" t="s">
        <v>104</v>
      </c>
      <c r="F15" s="33">
        <v>2692.85</v>
      </c>
      <c r="G15" s="33" t="s">
        <v>130</v>
      </c>
      <c r="H15" s="33" t="s">
        <v>92</v>
      </c>
      <c r="I15" s="40" t="s">
        <v>111</v>
      </c>
      <c r="J15" s="34" t="s">
        <v>106</v>
      </c>
      <c r="K15" s="39">
        <v>44773</v>
      </c>
      <c r="M15" s="7"/>
    </row>
    <row r="16" spans="1:13" ht="15.75" customHeight="1" x14ac:dyDescent="0.25">
      <c r="B16" s="38" t="s">
        <v>122</v>
      </c>
      <c r="C16" s="9" t="s">
        <v>101</v>
      </c>
      <c r="D16" s="9" t="s">
        <v>102</v>
      </c>
      <c r="E16" s="33" t="s">
        <v>104</v>
      </c>
      <c r="F16" s="33">
        <v>506.46</v>
      </c>
      <c r="G16" s="33" t="s">
        <v>130</v>
      </c>
      <c r="H16" s="33" t="s">
        <v>92</v>
      </c>
      <c r="I16" s="40" t="s">
        <v>108</v>
      </c>
      <c r="J16" s="34" t="s">
        <v>106</v>
      </c>
      <c r="K16" s="39">
        <v>45352</v>
      </c>
      <c r="M16" s="7"/>
    </row>
    <row r="17" spans="2:13" ht="15.75" customHeight="1" x14ac:dyDescent="0.25">
      <c r="B17" s="38" t="s">
        <v>123</v>
      </c>
      <c r="C17" s="9" t="s">
        <v>101</v>
      </c>
      <c r="D17" s="9" t="s">
        <v>102</v>
      </c>
      <c r="E17" s="33" t="s">
        <v>104</v>
      </c>
      <c r="F17" s="33">
        <v>1985.23</v>
      </c>
      <c r="G17" s="33" t="s">
        <v>130</v>
      </c>
      <c r="H17" s="33" t="s">
        <v>92</v>
      </c>
      <c r="I17" s="40" t="s">
        <v>113</v>
      </c>
      <c r="J17" s="34" t="s">
        <v>106</v>
      </c>
      <c r="K17" s="39">
        <v>44926</v>
      </c>
      <c r="M17" s="7"/>
    </row>
    <row r="18" spans="2:13" ht="15.75" customHeight="1" x14ac:dyDescent="0.25">
      <c r="B18" s="38" t="s">
        <v>123</v>
      </c>
      <c r="C18" s="9" t="s">
        <v>101</v>
      </c>
      <c r="D18" s="9" t="s">
        <v>102</v>
      </c>
      <c r="E18" s="33" t="s">
        <v>104</v>
      </c>
      <c r="F18" s="33">
        <v>2029.75</v>
      </c>
      <c r="G18" s="33" t="s">
        <v>130</v>
      </c>
      <c r="H18" s="33" t="s">
        <v>92</v>
      </c>
      <c r="I18" s="40" t="s">
        <v>113</v>
      </c>
      <c r="J18" s="34" t="s">
        <v>106</v>
      </c>
      <c r="K18" s="39">
        <v>44926</v>
      </c>
      <c r="M18" s="7"/>
    </row>
    <row r="19" spans="2:13" ht="15.75" customHeight="1" x14ac:dyDescent="0.25">
      <c r="B19" s="38" t="s">
        <v>123</v>
      </c>
      <c r="C19" s="9" t="s">
        <v>101</v>
      </c>
      <c r="D19" s="9" t="s">
        <v>102</v>
      </c>
      <c r="E19" s="33" t="s">
        <v>104</v>
      </c>
      <c r="F19" s="33">
        <v>2361.3200000000002</v>
      </c>
      <c r="G19" s="33" t="s">
        <v>130</v>
      </c>
      <c r="H19" s="33" t="s">
        <v>92</v>
      </c>
      <c r="I19" s="40" t="s">
        <v>113</v>
      </c>
      <c r="J19" s="34" t="s">
        <v>106</v>
      </c>
      <c r="K19" s="39">
        <v>47483</v>
      </c>
      <c r="M19" s="7"/>
    </row>
    <row r="20" spans="2:13" ht="15.75" customHeight="1" x14ac:dyDescent="0.25">
      <c r="B20" s="38" t="s">
        <v>123</v>
      </c>
      <c r="C20" s="9" t="s">
        <v>101</v>
      </c>
      <c r="D20" s="9" t="s">
        <v>102</v>
      </c>
      <c r="E20" s="33" t="s">
        <v>104</v>
      </c>
      <c r="F20" s="33">
        <v>2361.3200000000002</v>
      </c>
      <c r="G20" s="33" t="s">
        <v>130</v>
      </c>
      <c r="H20" s="33" t="s">
        <v>92</v>
      </c>
      <c r="I20" s="40" t="s">
        <v>113</v>
      </c>
      <c r="J20" s="34" t="s">
        <v>106</v>
      </c>
      <c r="K20" s="39">
        <v>47483</v>
      </c>
      <c r="M20" s="7"/>
    </row>
    <row r="21" spans="2:13" ht="15.75" customHeight="1" x14ac:dyDescent="0.25">
      <c r="B21" s="38" t="s">
        <v>124</v>
      </c>
      <c r="C21" s="9" t="s">
        <v>101</v>
      </c>
      <c r="D21" s="9" t="s">
        <v>102</v>
      </c>
      <c r="E21" s="33" t="s">
        <v>104</v>
      </c>
      <c r="F21" s="33">
        <v>2084.69</v>
      </c>
      <c r="G21" s="33" t="s">
        <v>130</v>
      </c>
      <c r="H21" s="33" t="s">
        <v>92</v>
      </c>
      <c r="I21" s="40" t="s">
        <v>108</v>
      </c>
      <c r="J21" s="34" t="s">
        <v>106</v>
      </c>
      <c r="K21" s="39">
        <v>44986</v>
      </c>
      <c r="M21" s="7"/>
    </row>
    <row r="22" spans="2:13" ht="15.75" customHeight="1" x14ac:dyDescent="0.25">
      <c r="B22" s="38" t="s">
        <v>125</v>
      </c>
      <c r="C22" s="9" t="s">
        <v>101</v>
      </c>
      <c r="D22" s="9" t="s">
        <v>102</v>
      </c>
      <c r="E22" s="33" t="s">
        <v>105</v>
      </c>
      <c r="F22" s="33">
        <v>1786.97</v>
      </c>
      <c r="G22" s="33" t="s">
        <v>151</v>
      </c>
      <c r="H22" s="33" t="s">
        <v>92</v>
      </c>
      <c r="I22" s="40" t="s">
        <v>107</v>
      </c>
      <c r="J22" s="34" t="s">
        <v>106</v>
      </c>
      <c r="K22" s="39">
        <v>44012</v>
      </c>
      <c r="M22" s="7"/>
    </row>
    <row r="23" spans="2:13" ht="15.75" customHeight="1" x14ac:dyDescent="0.25">
      <c r="B23" s="38" t="s">
        <v>125</v>
      </c>
      <c r="C23" s="9" t="s">
        <v>101</v>
      </c>
      <c r="D23" s="9" t="s">
        <v>102</v>
      </c>
      <c r="E23" s="33" t="s">
        <v>105</v>
      </c>
      <c r="F23" s="33">
        <v>1786.97</v>
      </c>
      <c r="G23" s="33" t="s">
        <v>151</v>
      </c>
      <c r="H23" s="33" t="s">
        <v>92</v>
      </c>
      <c r="I23" s="40" t="s">
        <v>107</v>
      </c>
      <c r="J23" s="34" t="s">
        <v>106</v>
      </c>
      <c r="K23" s="39">
        <v>44012</v>
      </c>
      <c r="M23" s="7"/>
    </row>
    <row r="24" spans="2:13" ht="15.75" customHeight="1" x14ac:dyDescent="0.25">
      <c r="B24" s="38" t="s">
        <v>126</v>
      </c>
      <c r="C24" s="9" t="s">
        <v>101</v>
      </c>
      <c r="D24" s="9" t="s">
        <v>102</v>
      </c>
      <c r="E24" s="33" t="s">
        <v>105</v>
      </c>
      <c r="F24" s="33">
        <v>1814.49</v>
      </c>
      <c r="G24" s="33" t="s">
        <v>151</v>
      </c>
      <c r="H24" s="33" t="s">
        <v>92</v>
      </c>
      <c r="I24" s="40" t="s">
        <v>110</v>
      </c>
      <c r="J24" s="34" t="s">
        <v>106</v>
      </c>
      <c r="K24" s="39">
        <v>46873</v>
      </c>
      <c r="M24" s="7"/>
    </row>
    <row r="25" spans="2:13" ht="15.75" customHeight="1" x14ac:dyDescent="0.25">
      <c r="B25" s="38" t="s">
        <v>126</v>
      </c>
      <c r="C25" s="9" t="s">
        <v>101</v>
      </c>
      <c r="D25" s="9" t="s">
        <v>102</v>
      </c>
      <c r="E25" s="33" t="s">
        <v>105</v>
      </c>
      <c r="F25" s="33">
        <v>2626.51</v>
      </c>
      <c r="G25" s="33" t="s">
        <v>151</v>
      </c>
      <c r="H25" s="33" t="s">
        <v>92</v>
      </c>
      <c r="I25" s="40" t="s">
        <v>115</v>
      </c>
      <c r="J25" s="34" t="s">
        <v>106</v>
      </c>
      <c r="K25" s="39">
        <v>45597</v>
      </c>
      <c r="M25" s="7"/>
    </row>
    <row r="26" spans="2:13" ht="15.75" customHeight="1" x14ac:dyDescent="0.25">
      <c r="B26" s="38" t="s">
        <v>126</v>
      </c>
      <c r="C26" s="9" t="s">
        <v>101</v>
      </c>
      <c r="D26" s="9" t="s">
        <v>102</v>
      </c>
      <c r="E26" s="33" t="s">
        <v>105</v>
      </c>
      <c r="F26" s="33">
        <v>2759.71</v>
      </c>
      <c r="G26" s="33" t="s">
        <v>151</v>
      </c>
      <c r="H26" s="33" t="s">
        <v>92</v>
      </c>
      <c r="I26" s="40" t="s">
        <v>114</v>
      </c>
      <c r="J26" s="34" t="s">
        <v>155</v>
      </c>
      <c r="K26" s="39">
        <v>45170</v>
      </c>
      <c r="M26" s="7"/>
    </row>
    <row r="27" spans="2:13" ht="15.75" customHeight="1" x14ac:dyDescent="0.25">
      <c r="B27" s="38" t="s">
        <v>127</v>
      </c>
      <c r="C27" s="9" t="s">
        <v>101</v>
      </c>
      <c r="D27" s="9" t="s">
        <v>102</v>
      </c>
      <c r="E27" s="33" t="s">
        <v>105</v>
      </c>
      <c r="F27" s="33">
        <v>2140.44</v>
      </c>
      <c r="G27" s="33" t="s">
        <v>151</v>
      </c>
      <c r="H27" s="33" t="s">
        <v>92</v>
      </c>
      <c r="I27" s="40" t="s">
        <v>112</v>
      </c>
      <c r="J27" s="34" t="s">
        <v>155</v>
      </c>
      <c r="K27" s="39">
        <v>48395</v>
      </c>
      <c r="M27" s="7"/>
    </row>
    <row r="28" spans="2:13" ht="15.75" customHeight="1" x14ac:dyDescent="0.25">
      <c r="B28" s="38" t="s">
        <v>127</v>
      </c>
      <c r="C28" s="9" t="s">
        <v>101</v>
      </c>
      <c r="D28" s="9" t="s">
        <v>102</v>
      </c>
      <c r="E28" s="33" t="s">
        <v>105</v>
      </c>
      <c r="F28" s="33">
        <v>2119.2399999999998</v>
      </c>
      <c r="G28" s="33" t="s">
        <v>151</v>
      </c>
      <c r="H28" s="33" t="s">
        <v>92</v>
      </c>
      <c r="I28" s="40" t="s">
        <v>112</v>
      </c>
      <c r="J28" s="34" t="s">
        <v>155</v>
      </c>
      <c r="K28" s="39">
        <v>48395</v>
      </c>
      <c r="M28" s="7"/>
    </row>
    <row r="29" spans="2:13" ht="15.75" customHeight="1" x14ac:dyDescent="0.25">
      <c r="B29" s="38" t="s">
        <v>127</v>
      </c>
      <c r="C29" s="9" t="s">
        <v>101</v>
      </c>
      <c r="D29" s="9" t="s">
        <v>102</v>
      </c>
      <c r="E29" s="33" t="s">
        <v>105</v>
      </c>
      <c r="F29" s="33">
        <v>2140.44</v>
      </c>
      <c r="G29" s="33" t="s">
        <v>151</v>
      </c>
      <c r="H29" s="33" t="s">
        <v>92</v>
      </c>
      <c r="I29" s="40" t="s">
        <v>112</v>
      </c>
      <c r="J29" s="34" t="s">
        <v>155</v>
      </c>
      <c r="K29" s="39">
        <v>48395</v>
      </c>
      <c r="M29" s="7"/>
    </row>
    <row r="30" spans="2:13" ht="15.75" customHeight="1" x14ac:dyDescent="0.25">
      <c r="B30" s="38" t="s">
        <v>153</v>
      </c>
      <c r="C30" s="9" t="s">
        <v>101</v>
      </c>
      <c r="D30" s="9" t="s">
        <v>102</v>
      </c>
      <c r="E30" s="33" t="s">
        <v>104</v>
      </c>
      <c r="F30" s="33">
        <v>1039.81</v>
      </c>
      <c r="G30" s="33" t="s">
        <v>130</v>
      </c>
      <c r="H30" s="33" t="s">
        <v>92</v>
      </c>
      <c r="I30" s="40" t="s">
        <v>113</v>
      </c>
      <c r="J30" s="34" t="s">
        <v>106</v>
      </c>
      <c r="K30" s="39">
        <v>44500</v>
      </c>
      <c r="M30" s="7"/>
    </row>
    <row r="31" spans="2:13" ht="15.75" customHeight="1" x14ac:dyDescent="0.25">
      <c r="B31" s="38" t="s">
        <v>153</v>
      </c>
      <c r="C31" s="9" t="s">
        <v>101</v>
      </c>
      <c r="D31" s="9" t="s">
        <v>102</v>
      </c>
      <c r="E31" s="33" t="s">
        <v>104</v>
      </c>
      <c r="F31" s="33">
        <v>2101.3000000000002</v>
      </c>
      <c r="G31" s="33" t="s">
        <v>130</v>
      </c>
      <c r="H31" s="33" t="s">
        <v>92</v>
      </c>
      <c r="I31" s="40" t="s">
        <v>108</v>
      </c>
      <c r="J31" s="34" t="s">
        <v>155</v>
      </c>
      <c r="K31" s="39">
        <v>44255</v>
      </c>
      <c r="M31" s="7"/>
    </row>
    <row r="32" spans="2:13" ht="15.75" customHeight="1" x14ac:dyDescent="0.25">
      <c r="B32" s="38" t="s">
        <v>128</v>
      </c>
      <c r="C32" s="9" t="s">
        <v>101</v>
      </c>
      <c r="D32" s="9" t="s">
        <v>102</v>
      </c>
      <c r="E32" s="33" t="s">
        <v>104</v>
      </c>
      <c r="F32" s="33">
        <v>2895.08</v>
      </c>
      <c r="G32" s="33" t="s">
        <v>130</v>
      </c>
      <c r="H32" s="33" t="s">
        <v>92</v>
      </c>
      <c r="I32" s="40" t="s">
        <v>107</v>
      </c>
      <c r="J32" s="34" t="s">
        <v>155</v>
      </c>
      <c r="K32" s="39">
        <v>44926</v>
      </c>
      <c r="M32" s="7"/>
    </row>
    <row r="33" spans="2:13" ht="15.75" customHeight="1" x14ac:dyDescent="0.25">
      <c r="B33" s="38" t="s">
        <v>128</v>
      </c>
      <c r="C33" s="9" t="s">
        <v>101</v>
      </c>
      <c r="D33" s="9" t="s">
        <v>102</v>
      </c>
      <c r="E33" s="33" t="s">
        <v>104</v>
      </c>
      <c r="F33" s="33">
        <v>2865.91</v>
      </c>
      <c r="G33" s="33" t="s">
        <v>130</v>
      </c>
      <c r="H33" s="33" t="s">
        <v>92</v>
      </c>
      <c r="I33" s="40" t="s">
        <v>107</v>
      </c>
      <c r="J33" s="34" t="s">
        <v>155</v>
      </c>
      <c r="K33" s="39">
        <v>44926</v>
      </c>
      <c r="M33" s="7"/>
    </row>
    <row r="34" spans="2:13" ht="15.75" customHeight="1" x14ac:dyDescent="0.25">
      <c r="B34" s="38" t="s">
        <v>129</v>
      </c>
      <c r="C34" s="9" t="s">
        <v>101</v>
      </c>
      <c r="D34" s="9" t="s">
        <v>102</v>
      </c>
      <c r="E34" s="33" t="s">
        <v>104</v>
      </c>
      <c r="F34" s="33">
        <v>2865.91</v>
      </c>
      <c r="G34" s="33" t="s">
        <v>130</v>
      </c>
      <c r="H34" s="33" t="s">
        <v>92</v>
      </c>
      <c r="I34" s="40" t="s">
        <v>107</v>
      </c>
      <c r="J34" s="34" t="s">
        <v>155</v>
      </c>
      <c r="K34" s="39">
        <v>46753</v>
      </c>
      <c r="M34" s="7"/>
    </row>
    <row r="35" spans="2:13" ht="15.75" customHeight="1" x14ac:dyDescent="0.25">
      <c r="B35" s="38" t="s">
        <v>129</v>
      </c>
      <c r="C35" s="9" t="s">
        <v>101</v>
      </c>
      <c r="D35" s="9" t="s">
        <v>102</v>
      </c>
      <c r="E35" s="33" t="s">
        <v>104</v>
      </c>
      <c r="F35" s="33">
        <v>2865.91</v>
      </c>
      <c r="G35" s="33" t="s">
        <v>130</v>
      </c>
      <c r="H35" s="33" t="s">
        <v>92</v>
      </c>
      <c r="I35" s="40" t="s">
        <v>107</v>
      </c>
      <c r="J35" s="34" t="s">
        <v>155</v>
      </c>
      <c r="K35" s="39">
        <v>46753</v>
      </c>
      <c r="M35" s="7"/>
    </row>
    <row r="36" spans="2:13" ht="15.75" customHeight="1" x14ac:dyDescent="0.25">
      <c r="B36" s="38" t="s">
        <v>129</v>
      </c>
      <c r="C36" s="9" t="s">
        <v>101</v>
      </c>
      <c r="D36" s="9" t="s">
        <v>102</v>
      </c>
      <c r="E36" s="33" t="s">
        <v>104</v>
      </c>
      <c r="F36" s="33">
        <v>2895.08</v>
      </c>
      <c r="G36" s="33" t="s">
        <v>130</v>
      </c>
      <c r="H36" s="33" t="s">
        <v>92</v>
      </c>
      <c r="I36" s="40" t="s">
        <v>107</v>
      </c>
      <c r="J36" s="34" t="s">
        <v>155</v>
      </c>
      <c r="K36" s="39">
        <v>46753</v>
      </c>
      <c r="M36" s="7"/>
    </row>
    <row r="37" spans="2:13" ht="15.75" customHeight="1" x14ac:dyDescent="0.25">
      <c r="B37" s="38" t="s">
        <v>154</v>
      </c>
      <c r="C37" s="9" t="s">
        <v>101</v>
      </c>
      <c r="D37" s="9" t="s">
        <v>102</v>
      </c>
      <c r="E37" s="33" t="s">
        <v>105</v>
      </c>
      <c r="F37" s="33">
        <v>2775.83</v>
      </c>
      <c r="G37" s="33" t="s">
        <v>151</v>
      </c>
      <c r="H37" s="33" t="s">
        <v>92</v>
      </c>
      <c r="I37" s="40" t="s">
        <v>114</v>
      </c>
      <c r="J37" s="34" t="s">
        <v>106</v>
      </c>
      <c r="K37" s="39">
        <v>46691</v>
      </c>
      <c r="M37" s="7"/>
    </row>
    <row r="38" spans="2:13" ht="15.75" customHeight="1" x14ac:dyDescent="0.25">
      <c r="B38" s="38" t="s">
        <v>154</v>
      </c>
      <c r="C38" s="9" t="s">
        <v>101</v>
      </c>
      <c r="D38" s="9" t="s">
        <v>102</v>
      </c>
      <c r="E38" s="33" t="s">
        <v>105</v>
      </c>
      <c r="F38" s="33">
        <v>2485.75</v>
      </c>
      <c r="G38" s="33" t="s">
        <v>151</v>
      </c>
      <c r="H38" s="33" t="s">
        <v>92</v>
      </c>
      <c r="I38" s="40" t="s">
        <v>114</v>
      </c>
      <c r="J38" s="34" t="s">
        <v>106</v>
      </c>
      <c r="K38" s="39">
        <v>46691</v>
      </c>
      <c r="M38" s="7"/>
    </row>
    <row r="39" spans="2:13" ht="15.75" customHeight="1" x14ac:dyDescent="0.25">
      <c r="B39" s="38" t="s">
        <v>152</v>
      </c>
      <c r="C39" s="9" t="s">
        <v>101</v>
      </c>
      <c r="D39" s="9" t="s">
        <v>102</v>
      </c>
      <c r="E39" s="33" t="s">
        <v>146</v>
      </c>
      <c r="F39" s="33">
        <v>2986.98</v>
      </c>
      <c r="G39" s="33" t="s">
        <v>147</v>
      </c>
      <c r="H39" s="33" t="s">
        <v>92</v>
      </c>
      <c r="I39" s="40" t="s">
        <v>115</v>
      </c>
      <c r="J39" s="34" t="s">
        <v>155</v>
      </c>
      <c r="K39" s="39">
        <v>51105</v>
      </c>
      <c r="M39" s="7"/>
    </row>
    <row r="40" spans="2:13" ht="15.75" customHeight="1" x14ac:dyDescent="0.25">
      <c r="B40" s="38" t="s">
        <v>152</v>
      </c>
      <c r="C40" s="9" t="s">
        <v>101</v>
      </c>
      <c r="D40" s="9" t="s">
        <v>102</v>
      </c>
      <c r="E40" s="33" t="s">
        <v>146</v>
      </c>
      <c r="F40" s="33">
        <v>2986.98</v>
      </c>
      <c r="G40" s="33" t="s">
        <v>147</v>
      </c>
      <c r="H40" s="33" t="s">
        <v>92</v>
      </c>
      <c r="I40" s="40" t="s">
        <v>115</v>
      </c>
      <c r="J40" s="34" t="s">
        <v>155</v>
      </c>
      <c r="K40" s="39">
        <v>51105</v>
      </c>
      <c r="M40" s="7"/>
    </row>
    <row r="41" spans="2:13" ht="15.75" customHeight="1" x14ac:dyDescent="0.25">
      <c r="B41" s="38" t="s">
        <v>152</v>
      </c>
      <c r="C41" s="9" t="s">
        <v>101</v>
      </c>
      <c r="D41" s="9" t="s">
        <v>102</v>
      </c>
      <c r="E41" s="33" t="s">
        <v>146</v>
      </c>
      <c r="F41" s="33">
        <v>3384.29</v>
      </c>
      <c r="G41" s="33" t="s">
        <v>147</v>
      </c>
      <c r="H41" s="33" t="s">
        <v>92</v>
      </c>
      <c r="I41" s="40" t="s">
        <v>115</v>
      </c>
      <c r="J41" s="34" t="s">
        <v>155</v>
      </c>
      <c r="K41" s="39">
        <v>51105</v>
      </c>
      <c r="M41" s="7"/>
    </row>
    <row r="42" spans="2:13" ht="15.75" customHeight="1" x14ac:dyDescent="0.25">
      <c r="B42" s="38" t="s">
        <v>152</v>
      </c>
      <c r="C42" s="9" t="s">
        <v>101</v>
      </c>
      <c r="D42" s="9" t="s">
        <v>102</v>
      </c>
      <c r="E42" s="33" t="s">
        <v>146</v>
      </c>
      <c r="F42" s="33">
        <v>3384.29</v>
      </c>
      <c r="G42" s="33" t="s">
        <v>147</v>
      </c>
      <c r="H42" s="33" t="s">
        <v>92</v>
      </c>
      <c r="I42" s="40" t="s">
        <v>115</v>
      </c>
      <c r="J42" s="34" t="s">
        <v>155</v>
      </c>
      <c r="K42" s="39">
        <v>51105</v>
      </c>
      <c r="M42" s="7"/>
    </row>
    <row r="43" spans="2:13" ht="15.75" customHeight="1" x14ac:dyDescent="0.25">
      <c r="B43" s="38" t="s">
        <v>156</v>
      </c>
      <c r="C43" s="9" t="s">
        <v>101</v>
      </c>
      <c r="D43" s="9" t="s">
        <v>175</v>
      </c>
      <c r="E43" s="33" t="s">
        <v>178</v>
      </c>
      <c r="F43" s="33">
        <v>2895.08</v>
      </c>
      <c r="G43" s="33" t="s">
        <v>170</v>
      </c>
      <c r="H43" s="33" t="s">
        <v>92</v>
      </c>
      <c r="I43" s="40" t="s">
        <v>115</v>
      </c>
      <c r="J43" s="34" t="s">
        <v>155</v>
      </c>
      <c r="K43" s="39">
        <v>49430</v>
      </c>
      <c r="M43" s="7"/>
    </row>
    <row r="44" spans="2:13" ht="15.75" customHeight="1" x14ac:dyDescent="0.25">
      <c r="B44" s="38" t="s">
        <v>156</v>
      </c>
      <c r="C44" s="9" t="s">
        <v>101</v>
      </c>
      <c r="D44" s="9" t="s">
        <v>175</v>
      </c>
      <c r="E44" s="33" t="s">
        <v>178</v>
      </c>
      <c r="F44" s="33">
        <v>2865.91</v>
      </c>
      <c r="G44" s="33" t="s">
        <v>170</v>
      </c>
      <c r="H44" s="33" t="s">
        <v>92</v>
      </c>
      <c r="I44" s="40" t="s">
        <v>115</v>
      </c>
      <c r="J44" s="34" t="s">
        <v>155</v>
      </c>
      <c r="K44" s="39">
        <v>49430</v>
      </c>
      <c r="M44" s="7"/>
    </row>
    <row r="45" spans="2:13" ht="15.75" customHeight="1" x14ac:dyDescent="0.25">
      <c r="B45" s="38" t="s">
        <v>156</v>
      </c>
      <c r="C45" s="9" t="s">
        <v>101</v>
      </c>
      <c r="D45" s="9" t="s">
        <v>175</v>
      </c>
      <c r="E45" s="33" t="s">
        <v>178</v>
      </c>
      <c r="F45" s="33">
        <v>2865.91</v>
      </c>
      <c r="G45" s="33" t="s">
        <v>170</v>
      </c>
      <c r="H45" s="33" t="s">
        <v>92</v>
      </c>
      <c r="I45" s="40" t="s">
        <v>115</v>
      </c>
      <c r="J45" s="34" t="s">
        <v>155</v>
      </c>
      <c r="K45" s="39">
        <v>49430</v>
      </c>
      <c r="M45" s="7"/>
    </row>
    <row r="46" spans="2:13" ht="15.75" customHeight="1" x14ac:dyDescent="0.25">
      <c r="B46" s="38" t="s">
        <v>156</v>
      </c>
      <c r="C46" s="9" t="s">
        <v>101</v>
      </c>
      <c r="D46" s="9" t="s">
        <v>175</v>
      </c>
      <c r="E46" s="33" t="s">
        <v>178</v>
      </c>
      <c r="F46" s="33">
        <v>2865.91</v>
      </c>
      <c r="G46" s="33" t="s">
        <v>170</v>
      </c>
      <c r="H46" s="33" t="s">
        <v>92</v>
      </c>
      <c r="I46" s="40" t="s">
        <v>115</v>
      </c>
      <c r="J46" s="34" t="s">
        <v>155</v>
      </c>
      <c r="K46" s="39">
        <v>49430</v>
      </c>
      <c r="M46" s="7"/>
    </row>
    <row r="47" spans="2:13" ht="15.75" customHeight="1" x14ac:dyDescent="0.25">
      <c r="B47" s="38" t="s">
        <v>156</v>
      </c>
      <c r="C47" s="9" t="s">
        <v>101</v>
      </c>
      <c r="D47" s="9" t="s">
        <v>175</v>
      </c>
      <c r="E47" s="33" t="s">
        <v>178</v>
      </c>
      <c r="F47" s="33">
        <v>2865.91</v>
      </c>
      <c r="G47" s="33" t="s">
        <v>170</v>
      </c>
      <c r="H47" s="33" t="s">
        <v>92</v>
      </c>
      <c r="I47" s="40" t="s">
        <v>115</v>
      </c>
      <c r="J47" s="34" t="s">
        <v>155</v>
      </c>
      <c r="K47" s="39">
        <v>49430</v>
      </c>
      <c r="M47" s="7"/>
    </row>
    <row r="48" spans="2:13" ht="15.75" customHeight="1" x14ac:dyDescent="0.25">
      <c r="B48" s="38" t="s">
        <v>156</v>
      </c>
      <c r="C48" s="9" t="s">
        <v>101</v>
      </c>
      <c r="D48" s="9" t="s">
        <v>175</v>
      </c>
      <c r="E48" s="33" t="s">
        <v>178</v>
      </c>
      <c r="F48" s="33">
        <v>2895.08</v>
      </c>
      <c r="G48" s="33" t="s">
        <v>170</v>
      </c>
      <c r="H48" s="33" t="s">
        <v>92</v>
      </c>
      <c r="I48" s="40" t="s">
        <v>115</v>
      </c>
      <c r="J48" s="34" t="s">
        <v>155</v>
      </c>
      <c r="K48" s="39">
        <v>49430</v>
      </c>
      <c r="M48" s="7"/>
    </row>
    <row r="49" spans="2:13" ht="15.75" customHeight="1" x14ac:dyDescent="0.25">
      <c r="B49" s="38" t="s">
        <v>156</v>
      </c>
      <c r="C49" s="9" t="s">
        <v>101</v>
      </c>
      <c r="D49" s="9" t="s">
        <v>175</v>
      </c>
      <c r="E49" s="33" t="s">
        <v>178</v>
      </c>
      <c r="F49" s="33">
        <v>2895.08</v>
      </c>
      <c r="G49" s="33" t="s">
        <v>170</v>
      </c>
      <c r="H49" s="33" t="s">
        <v>92</v>
      </c>
      <c r="I49" s="40" t="s">
        <v>115</v>
      </c>
      <c r="J49" s="34" t="s">
        <v>155</v>
      </c>
      <c r="K49" s="39">
        <v>49430</v>
      </c>
      <c r="M49" s="7"/>
    </row>
    <row r="50" spans="2:13" ht="15.75" customHeight="1" x14ac:dyDescent="0.25">
      <c r="B50" s="38" t="s">
        <v>156</v>
      </c>
      <c r="C50" s="9" t="s">
        <v>101</v>
      </c>
      <c r="D50" s="9" t="s">
        <v>175</v>
      </c>
      <c r="E50" s="33" t="s">
        <v>178</v>
      </c>
      <c r="F50" s="33">
        <v>2865.91</v>
      </c>
      <c r="G50" s="33" t="s">
        <v>170</v>
      </c>
      <c r="H50" s="33" t="s">
        <v>92</v>
      </c>
      <c r="I50" s="40" t="s">
        <v>115</v>
      </c>
      <c r="J50" s="34" t="s">
        <v>155</v>
      </c>
      <c r="K50" s="39">
        <v>49430</v>
      </c>
      <c r="M50" s="7"/>
    </row>
    <row r="51" spans="2:13" ht="15.75" customHeight="1" x14ac:dyDescent="0.25">
      <c r="B51" s="38" t="s">
        <v>156</v>
      </c>
      <c r="C51" s="9" t="s">
        <v>101</v>
      </c>
      <c r="D51" s="9" t="s">
        <v>175</v>
      </c>
      <c r="E51" s="33" t="s">
        <v>178</v>
      </c>
      <c r="F51" s="33">
        <v>2865.91</v>
      </c>
      <c r="G51" s="33" t="s">
        <v>170</v>
      </c>
      <c r="H51" s="33" t="s">
        <v>92</v>
      </c>
      <c r="I51" s="40" t="s">
        <v>115</v>
      </c>
      <c r="J51" s="34" t="s">
        <v>155</v>
      </c>
      <c r="K51" s="39">
        <v>49430</v>
      </c>
      <c r="M51" s="7"/>
    </row>
    <row r="52" spans="2:13" ht="15.75" customHeight="1" x14ac:dyDescent="0.25">
      <c r="B52" s="38" t="s">
        <v>156</v>
      </c>
      <c r="C52" s="9" t="s">
        <v>101</v>
      </c>
      <c r="D52" s="9" t="s">
        <v>175</v>
      </c>
      <c r="E52" s="33" t="s">
        <v>178</v>
      </c>
      <c r="F52" s="33">
        <v>2865.91</v>
      </c>
      <c r="G52" s="33" t="s">
        <v>170</v>
      </c>
      <c r="H52" s="33" t="s">
        <v>92</v>
      </c>
      <c r="I52" s="40" t="s">
        <v>115</v>
      </c>
      <c r="J52" s="34" t="s">
        <v>155</v>
      </c>
      <c r="K52" s="39">
        <v>49430</v>
      </c>
      <c r="M52" s="7"/>
    </row>
    <row r="53" spans="2:13" ht="15.75" customHeight="1" x14ac:dyDescent="0.25">
      <c r="B53" s="38" t="s">
        <v>156</v>
      </c>
      <c r="C53" s="9" t="s">
        <v>101</v>
      </c>
      <c r="D53" s="9" t="s">
        <v>175</v>
      </c>
      <c r="E53" s="33" t="s">
        <v>178</v>
      </c>
      <c r="F53" s="33">
        <v>2865.91</v>
      </c>
      <c r="G53" s="33" t="s">
        <v>170</v>
      </c>
      <c r="H53" s="33" t="s">
        <v>92</v>
      </c>
      <c r="I53" s="40" t="s">
        <v>115</v>
      </c>
      <c r="J53" s="34" t="s">
        <v>155</v>
      </c>
      <c r="K53" s="39">
        <v>49430</v>
      </c>
      <c r="M53" s="7"/>
    </row>
    <row r="54" spans="2:13" ht="15.75" customHeight="1" x14ac:dyDescent="0.25">
      <c r="B54" s="38" t="s">
        <v>156</v>
      </c>
      <c r="C54" s="9" t="s">
        <v>101</v>
      </c>
      <c r="D54" s="9" t="s">
        <v>175</v>
      </c>
      <c r="E54" s="33" t="s">
        <v>178</v>
      </c>
      <c r="F54" s="33">
        <v>2895.08</v>
      </c>
      <c r="G54" s="33" t="s">
        <v>170</v>
      </c>
      <c r="H54" s="33" t="s">
        <v>92</v>
      </c>
      <c r="I54" s="40" t="s">
        <v>115</v>
      </c>
      <c r="J54" s="34" t="s">
        <v>155</v>
      </c>
      <c r="K54" s="39">
        <v>49430</v>
      </c>
      <c r="M54" s="7"/>
    </row>
    <row r="55" spans="2:13" ht="15.75" customHeight="1" x14ac:dyDescent="0.25">
      <c r="B55" s="38" t="s">
        <v>143</v>
      </c>
      <c r="C55" s="9" t="s">
        <v>101</v>
      </c>
      <c r="D55" s="9" t="s">
        <v>176</v>
      </c>
      <c r="E55" s="33" t="s">
        <v>179</v>
      </c>
      <c r="F55" s="33">
        <v>1108.6300000000001</v>
      </c>
      <c r="G55" s="33" t="s">
        <v>171</v>
      </c>
      <c r="H55" s="40" t="s">
        <v>145</v>
      </c>
      <c r="I55" s="40" t="s">
        <v>144</v>
      </c>
      <c r="J55" s="40" t="s">
        <v>144</v>
      </c>
      <c r="K55" s="39">
        <v>44866</v>
      </c>
      <c r="M55" s="7"/>
    </row>
    <row r="56" spans="2:13" ht="15.75" customHeight="1" x14ac:dyDescent="0.25">
      <c r="B56" s="38" t="s">
        <v>143</v>
      </c>
      <c r="C56" s="9" t="s">
        <v>101</v>
      </c>
      <c r="D56" s="9" t="s">
        <v>176</v>
      </c>
      <c r="E56" s="33" t="s">
        <v>179</v>
      </c>
      <c r="F56" s="33">
        <v>1108.6300000000001</v>
      </c>
      <c r="G56" s="33" t="s">
        <v>171</v>
      </c>
      <c r="H56" s="40" t="s">
        <v>145</v>
      </c>
      <c r="I56" s="40" t="s">
        <v>144</v>
      </c>
      <c r="J56" s="40" t="s">
        <v>144</v>
      </c>
      <c r="K56" s="39">
        <v>44866</v>
      </c>
      <c r="M56" s="7"/>
    </row>
    <row r="57" spans="2:13" ht="15.75" customHeight="1" x14ac:dyDescent="0.25">
      <c r="B57" s="38" t="s">
        <v>143</v>
      </c>
      <c r="C57" s="9" t="s">
        <v>101</v>
      </c>
      <c r="D57" s="9" t="s">
        <v>176</v>
      </c>
      <c r="E57" s="33" t="s">
        <v>179</v>
      </c>
      <c r="F57" s="33">
        <v>1108.6300000000001</v>
      </c>
      <c r="G57" s="33" t="s">
        <v>171</v>
      </c>
      <c r="H57" s="40" t="s">
        <v>145</v>
      </c>
      <c r="I57" s="40" t="s">
        <v>144</v>
      </c>
      <c r="J57" s="40" t="s">
        <v>144</v>
      </c>
      <c r="K57" s="39">
        <v>44866</v>
      </c>
      <c r="M57" s="7"/>
    </row>
    <row r="58" spans="2:13" ht="15.75" customHeight="1" x14ac:dyDescent="0.25">
      <c r="B58" s="38" t="s">
        <v>157</v>
      </c>
      <c r="C58" s="9" t="s">
        <v>101</v>
      </c>
      <c r="D58" s="9" t="s">
        <v>176</v>
      </c>
      <c r="E58" s="33" t="s">
        <v>179</v>
      </c>
      <c r="F58" s="33">
        <v>1148.3900000000001</v>
      </c>
      <c r="G58" s="33" t="s">
        <v>171</v>
      </c>
      <c r="H58" s="33" t="s">
        <v>92</v>
      </c>
      <c r="I58" s="40" t="s">
        <v>110</v>
      </c>
      <c r="J58" s="34" t="s">
        <v>106</v>
      </c>
      <c r="K58" s="39">
        <v>44773</v>
      </c>
      <c r="M58" s="7"/>
    </row>
    <row r="59" spans="2:13" ht="15.75" customHeight="1" x14ac:dyDescent="0.25">
      <c r="B59" s="38" t="s">
        <v>143</v>
      </c>
      <c r="C59" s="9" t="s">
        <v>101</v>
      </c>
      <c r="D59" s="9" t="s">
        <v>176</v>
      </c>
      <c r="E59" s="33" t="s">
        <v>179</v>
      </c>
      <c r="F59" s="33">
        <v>1108.6300000000001</v>
      </c>
      <c r="G59" s="33" t="s">
        <v>171</v>
      </c>
      <c r="H59" s="40" t="s">
        <v>145</v>
      </c>
      <c r="I59" s="40" t="s">
        <v>144</v>
      </c>
      <c r="J59" s="40" t="s">
        <v>144</v>
      </c>
      <c r="K59" s="39">
        <v>44866</v>
      </c>
      <c r="M59" s="7"/>
    </row>
    <row r="60" spans="2:13" ht="15.75" customHeight="1" x14ac:dyDescent="0.25">
      <c r="B60" s="38" t="s">
        <v>158</v>
      </c>
      <c r="C60" s="9" t="s">
        <v>101</v>
      </c>
      <c r="D60" s="9" t="s">
        <v>176</v>
      </c>
      <c r="E60" s="33" t="s">
        <v>179</v>
      </c>
      <c r="F60" s="33">
        <v>1148.395</v>
      </c>
      <c r="G60" s="33" t="s">
        <v>171</v>
      </c>
      <c r="H60" s="33" t="s">
        <v>92</v>
      </c>
      <c r="I60" s="40" t="s">
        <v>111</v>
      </c>
      <c r="J60" s="34" t="s">
        <v>155</v>
      </c>
      <c r="K60" s="39">
        <v>45137</v>
      </c>
      <c r="M60" s="7"/>
    </row>
    <row r="61" spans="2:13" ht="15.75" customHeight="1" x14ac:dyDescent="0.25">
      <c r="B61" s="38" t="s">
        <v>158</v>
      </c>
      <c r="C61" s="9" t="s">
        <v>101</v>
      </c>
      <c r="D61" s="9" t="s">
        <v>176</v>
      </c>
      <c r="E61" s="33" t="s">
        <v>179</v>
      </c>
      <c r="F61" s="33">
        <v>1148.395</v>
      </c>
      <c r="G61" s="33" t="s">
        <v>171</v>
      </c>
      <c r="H61" s="33" t="s">
        <v>92</v>
      </c>
      <c r="I61" s="40" t="s">
        <v>111</v>
      </c>
      <c r="J61" s="34" t="s">
        <v>155</v>
      </c>
      <c r="K61" s="39">
        <v>45137</v>
      </c>
      <c r="M61" s="7"/>
    </row>
    <row r="62" spans="2:13" ht="15.75" customHeight="1" x14ac:dyDescent="0.25">
      <c r="B62" s="38" t="s">
        <v>143</v>
      </c>
      <c r="C62" s="9" t="s">
        <v>101</v>
      </c>
      <c r="D62" s="9" t="s">
        <v>176</v>
      </c>
      <c r="E62" s="33" t="s">
        <v>179</v>
      </c>
      <c r="F62" s="33">
        <v>1740.35</v>
      </c>
      <c r="G62" s="33" t="s">
        <v>171</v>
      </c>
      <c r="H62" s="40" t="s">
        <v>145</v>
      </c>
      <c r="I62" s="40" t="s">
        <v>144</v>
      </c>
      <c r="J62" s="40" t="s">
        <v>144</v>
      </c>
      <c r="K62" s="39">
        <v>44866</v>
      </c>
      <c r="M62" s="7"/>
    </row>
    <row r="63" spans="2:13" ht="15.75" customHeight="1" x14ac:dyDescent="0.25">
      <c r="B63" s="38" t="s">
        <v>143</v>
      </c>
      <c r="C63" s="9" t="s">
        <v>101</v>
      </c>
      <c r="D63" s="9" t="s">
        <v>176</v>
      </c>
      <c r="E63" s="33" t="s">
        <v>179</v>
      </c>
      <c r="F63" s="33">
        <v>1108.6300000000001</v>
      </c>
      <c r="G63" s="33" t="s">
        <v>171</v>
      </c>
      <c r="H63" s="40" t="s">
        <v>145</v>
      </c>
      <c r="I63" s="40" t="s">
        <v>144</v>
      </c>
      <c r="J63" s="40" t="s">
        <v>144</v>
      </c>
      <c r="K63" s="39">
        <v>44866</v>
      </c>
      <c r="M63" s="7"/>
    </row>
    <row r="64" spans="2:13" ht="15.75" customHeight="1" x14ac:dyDescent="0.25">
      <c r="B64" s="38" t="s">
        <v>143</v>
      </c>
      <c r="C64" s="9" t="s">
        <v>101</v>
      </c>
      <c r="D64" s="9" t="s">
        <v>176</v>
      </c>
      <c r="E64" s="33" t="s">
        <v>179</v>
      </c>
      <c r="F64" s="33">
        <v>1715.25</v>
      </c>
      <c r="G64" s="33" t="s">
        <v>171</v>
      </c>
      <c r="H64" s="40" t="s">
        <v>145</v>
      </c>
      <c r="I64" s="40" t="s">
        <v>144</v>
      </c>
      <c r="J64" s="40" t="s">
        <v>144</v>
      </c>
      <c r="K64" s="39">
        <v>44866</v>
      </c>
      <c r="M64" s="7"/>
    </row>
    <row r="65" spans="2:13" ht="15.75" customHeight="1" x14ac:dyDescent="0.25">
      <c r="B65" s="38" t="s">
        <v>159</v>
      </c>
      <c r="C65" s="9" t="s">
        <v>101</v>
      </c>
      <c r="D65" s="9" t="s">
        <v>176</v>
      </c>
      <c r="E65" s="33" t="s">
        <v>179</v>
      </c>
      <c r="F65" s="33">
        <v>1773.95</v>
      </c>
      <c r="G65" s="33" t="s">
        <v>171</v>
      </c>
      <c r="H65" s="33" t="s">
        <v>92</v>
      </c>
      <c r="I65" s="40" t="s">
        <v>182</v>
      </c>
      <c r="J65" s="34" t="s">
        <v>106</v>
      </c>
      <c r="K65" s="39">
        <v>44742</v>
      </c>
      <c r="M65" s="7"/>
    </row>
    <row r="66" spans="2:13" ht="15.75" customHeight="1" x14ac:dyDescent="0.25">
      <c r="B66" s="38" t="s">
        <v>160</v>
      </c>
      <c r="C66" s="9" t="s">
        <v>101</v>
      </c>
      <c r="D66" s="9" t="s">
        <v>176</v>
      </c>
      <c r="E66" s="33" t="s">
        <v>179</v>
      </c>
      <c r="F66" s="33">
        <v>1710</v>
      </c>
      <c r="G66" s="33" t="s">
        <v>171</v>
      </c>
      <c r="H66" s="33" t="s">
        <v>92</v>
      </c>
      <c r="I66" s="40" t="s">
        <v>113</v>
      </c>
      <c r="J66" s="34" t="s">
        <v>155</v>
      </c>
      <c r="K66" s="39">
        <v>45565</v>
      </c>
      <c r="M66" s="7"/>
    </row>
    <row r="67" spans="2:13" ht="15.75" customHeight="1" x14ac:dyDescent="0.25">
      <c r="B67" s="38" t="s">
        <v>161</v>
      </c>
      <c r="C67" s="9" t="s">
        <v>101</v>
      </c>
      <c r="D67" s="9" t="s">
        <v>176</v>
      </c>
      <c r="E67" s="33" t="s">
        <v>179</v>
      </c>
      <c r="F67" s="33">
        <v>1860</v>
      </c>
      <c r="G67" s="33" t="s">
        <v>171</v>
      </c>
      <c r="H67" s="33" t="s">
        <v>92</v>
      </c>
      <c r="I67" s="40" t="s">
        <v>182</v>
      </c>
      <c r="J67" s="34" t="s">
        <v>155</v>
      </c>
      <c r="K67" s="39">
        <v>45474</v>
      </c>
      <c r="M67" s="7"/>
    </row>
    <row r="68" spans="2:13" ht="15.75" customHeight="1" x14ac:dyDescent="0.25">
      <c r="B68" s="38" t="s">
        <v>161</v>
      </c>
      <c r="C68" s="9" t="s">
        <v>101</v>
      </c>
      <c r="D68" s="9" t="s">
        <v>176</v>
      </c>
      <c r="E68" s="33" t="s">
        <v>179</v>
      </c>
      <c r="F68" s="33">
        <v>1860</v>
      </c>
      <c r="G68" s="33" t="s">
        <v>171</v>
      </c>
      <c r="H68" s="33" t="s">
        <v>92</v>
      </c>
      <c r="I68" s="40" t="s">
        <v>182</v>
      </c>
      <c r="J68" s="34" t="s">
        <v>155</v>
      </c>
      <c r="K68" s="39">
        <v>45474</v>
      </c>
      <c r="M68" s="7"/>
    </row>
    <row r="69" spans="2:13" ht="15.75" customHeight="1" x14ac:dyDescent="0.25">
      <c r="B69" s="38" t="s">
        <v>161</v>
      </c>
      <c r="C69" s="9" t="s">
        <v>101</v>
      </c>
      <c r="D69" s="9" t="s">
        <v>176</v>
      </c>
      <c r="E69" s="33" t="s">
        <v>179</v>
      </c>
      <c r="F69" s="33">
        <v>1860</v>
      </c>
      <c r="G69" s="33" t="s">
        <v>171</v>
      </c>
      <c r="H69" s="33" t="s">
        <v>92</v>
      </c>
      <c r="I69" s="40" t="s">
        <v>182</v>
      </c>
      <c r="J69" s="34" t="s">
        <v>155</v>
      </c>
      <c r="K69" s="39">
        <v>45474</v>
      </c>
      <c r="M69" s="7"/>
    </row>
    <row r="70" spans="2:13" ht="15.75" customHeight="1" x14ac:dyDescent="0.25">
      <c r="B70" s="38" t="s">
        <v>161</v>
      </c>
      <c r="C70" s="9" t="s">
        <v>101</v>
      </c>
      <c r="D70" s="9" t="s">
        <v>176</v>
      </c>
      <c r="E70" s="33" t="s">
        <v>179</v>
      </c>
      <c r="F70" s="33">
        <v>1860</v>
      </c>
      <c r="G70" s="33" t="s">
        <v>171</v>
      </c>
      <c r="H70" s="33" t="s">
        <v>92</v>
      </c>
      <c r="I70" s="40" t="s">
        <v>182</v>
      </c>
      <c r="J70" s="34" t="s">
        <v>155</v>
      </c>
      <c r="K70" s="39">
        <v>45474</v>
      </c>
      <c r="M70" s="7"/>
    </row>
    <row r="71" spans="2:13" ht="15.75" customHeight="1" x14ac:dyDescent="0.25">
      <c r="B71" s="38" t="s">
        <v>161</v>
      </c>
      <c r="C71" s="9" t="s">
        <v>101</v>
      </c>
      <c r="D71" s="9" t="s">
        <v>176</v>
      </c>
      <c r="E71" s="33" t="s">
        <v>179</v>
      </c>
      <c r="F71" s="33">
        <v>1860</v>
      </c>
      <c r="G71" s="33" t="s">
        <v>171</v>
      </c>
      <c r="H71" s="33" t="s">
        <v>92</v>
      </c>
      <c r="I71" s="40" t="s">
        <v>182</v>
      </c>
      <c r="J71" s="34" t="s">
        <v>155</v>
      </c>
      <c r="K71" s="39">
        <v>45474</v>
      </c>
      <c r="M71" s="7"/>
    </row>
    <row r="72" spans="2:13" ht="15.75" customHeight="1" x14ac:dyDescent="0.25">
      <c r="B72" s="38" t="s">
        <v>161</v>
      </c>
      <c r="C72" s="9" t="s">
        <v>101</v>
      </c>
      <c r="D72" s="9" t="s">
        <v>176</v>
      </c>
      <c r="E72" s="33" t="s">
        <v>179</v>
      </c>
      <c r="F72" s="33">
        <v>1860</v>
      </c>
      <c r="G72" s="33" t="s">
        <v>171</v>
      </c>
      <c r="H72" s="33" t="s">
        <v>92</v>
      </c>
      <c r="I72" s="40" t="s">
        <v>182</v>
      </c>
      <c r="J72" s="34" t="s">
        <v>155</v>
      </c>
      <c r="K72" s="39">
        <v>45474</v>
      </c>
      <c r="M72" s="7"/>
    </row>
    <row r="73" spans="2:13" ht="15.75" customHeight="1" x14ac:dyDescent="0.25">
      <c r="B73" s="38" t="s">
        <v>162</v>
      </c>
      <c r="C73" s="9" t="s">
        <v>101</v>
      </c>
      <c r="D73" s="9" t="s">
        <v>176</v>
      </c>
      <c r="E73" s="33" t="s">
        <v>179</v>
      </c>
      <c r="F73" s="33">
        <v>1860</v>
      </c>
      <c r="G73" s="33" t="s">
        <v>171</v>
      </c>
      <c r="H73" s="33" t="s">
        <v>92</v>
      </c>
      <c r="I73" s="40" t="s">
        <v>184</v>
      </c>
      <c r="J73" s="34" t="s">
        <v>155</v>
      </c>
      <c r="K73" s="39">
        <v>45382</v>
      </c>
      <c r="M73" s="7"/>
    </row>
    <row r="74" spans="2:13" ht="15.75" customHeight="1" x14ac:dyDescent="0.25">
      <c r="B74" s="38" t="s">
        <v>162</v>
      </c>
      <c r="C74" s="9" t="s">
        <v>101</v>
      </c>
      <c r="D74" s="9" t="s">
        <v>176</v>
      </c>
      <c r="E74" s="33" t="s">
        <v>179</v>
      </c>
      <c r="F74" s="33">
        <v>1860</v>
      </c>
      <c r="G74" s="33" t="s">
        <v>171</v>
      </c>
      <c r="H74" s="33" t="s">
        <v>92</v>
      </c>
      <c r="I74" s="40" t="s">
        <v>184</v>
      </c>
      <c r="J74" s="34" t="s">
        <v>155</v>
      </c>
      <c r="K74" s="39">
        <v>45382</v>
      </c>
      <c r="M74" s="7"/>
    </row>
    <row r="75" spans="2:13" ht="15.75" customHeight="1" x14ac:dyDescent="0.25">
      <c r="B75" s="38" t="s">
        <v>162</v>
      </c>
      <c r="C75" s="9" t="s">
        <v>101</v>
      </c>
      <c r="D75" s="9" t="s">
        <v>176</v>
      </c>
      <c r="E75" s="33" t="s">
        <v>179</v>
      </c>
      <c r="F75" s="33">
        <v>1924.34</v>
      </c>
      <c r="G75" s="33" t="s">
        <v>171</v>
      </c>
      <c r="H75" s="33" t="s">
        <v>92</v>
      </c>
      <c r="I75" s="40" t="s">
        <v>184</v>
      </c>
      <c r="J75" s="34" t="s">
        <v>155</v>
      </c>
      <c r="K75" s="39">
        <v>45382</v>
      </c>
      <c r="M75" s="7"/>
    </row>
    <row r="76" spans="2:13" ht="15.75" customHeight="1" x14ac:dyDescent="0.25">
      <c r="B76" s="38" t="s">
        <v>163</v>
      </c>
      <c r="C76" s="9" t="s">
        <v>101</v>
      </c>
      <c r="D76" s="9" t="s">
        <v>176</v>
      </c>
      <c r="E76" s="33" t="s">
        <v>179</v>
      </c>
      <c r="F76" s="33">
        <v>1856</v>
      </c>
      <c r="G76" s="33" t="s">
        <v>171</v>
      </c>
      <c r="H76" s="33" t="s">
        <v>92</v>
      </c>
      <c r="I76" s="40" t="s">
        <v>114</v>
      </c>
      <c r="J76" s="34" t="s">
        <v>155</v>
      </c>
      <c r="K76" s="39">
        <v>44135</v>
      </c>
      <c r="M76" s="7"/>
    </row>
    <row r="77" spans="2:13" ht="15.75" customHeight="1" x14ac:dyDescent="0.25">
      <c r="B77" s="38" t="s">
        <v>163</v>
      </c>
      <c r="C77" s="9" t="s">
        <v>101</v>
      </c>
      <c r="D77" s="9" t="s">
        <v>176</v>
      </c>
      <c r="E77" s="33" t="s">
        <v>179</v>
      </c>
      <c r="F77" s="33">
        <v>1856</v>
      </c>
      <c r="G77" s="33" t="s">
        <v>171</v>
      </c>
      <c r="H77" s="33" t="s">
        <v>92</v>
      </c>
      <c r="I77" s="40" t="s">
        <v>114</v>
      </c>
      <c r="J77" s="34" t="s">
        <v>155</v>
      </c>
      <c r="K77" s="39">
        <v>44135</v>
      </c>
      <c r="M77" s="7"/>
    </row>
    <row r="78" spans="2:13" ht="15.75" customHeight="1" x14ac:dyDescent="0.25">
      <c r="B78" s="38" t="s">
        <v>161</v>
      </c>
      <c r="C78" s="9" t="s">
        <v>101</v>
      </c>
      <c r="D78" s="9" t="s">
        <v>176</v>
      </c>
      <c r="E78" s="33" t="s">
        <v>179</v>
      </c>
      <c r="F78" s="33">
        <v>1860</v>
      </c>
      <c r="G78" s="33" t="s">
        <v>171</v>
      </c>
      <c r="H78" s="33" t="s">
        <v>92</v>
      </c>
      <c r="I78" s="40" t="s">
        <v>182</v>
      </c>
      <c r="J78" s="34" t="s">
        <v>155</v>
      </c>
      <c r="K78" s="39">
        <v>45474</v>
      </c>
      <c r="M78" s="7"/>
    </row>
    <row r="79" spans="2:13" ht="15.75" customHeight="1" x14ac:dyDescent="0.25">
      <c r="B79" s="38" t="s">
        <v>162</v>
      </c>
      <c r="C79" s="9" t="s">
        <v>101</v>
      </c>
      <c r="D79" s="9" t="s">
        <v>176</v>
      </c>
      <c r="E79" s="33" t="s">
        <v>179</v>
      </c>
      <c r="F79" s="33">
        <v>2460</v>
      </c>
      <c r="G79" s="33" t="s">
        <v>171</v>
      </c>
      <c r="H79" s="33" t="s">
        <v>92</v>
      </c>
      <c r="I79" s="40" t="s">
        <v>184</v>
      </c>
      <c r="J79" s="34" t="s">
        <v>155</v>
      </c>
      <c r="K79" s="39">
        <v>45382</v>
      </c>
      <c r="M79" s="7"/>
    </row>
    <row r="80" spans="2:13" ht="15.75" customHeight="1" x14ac:dyDescent="0.25">
      <c r="B80" s="38" t="s">
        <v>162</v>
      </c>
      <c r="C80" s="9" t="s">
        <v>101</v>
      </c>
      <c r="D80" s="9" t="s">
        <v>176</v>
      </c>
      <c r="E80" s="33" t="s">
        <v>179</v>
      </c>
      <c r="F80" s="33">
        <v>2460</v>
      </c>
      <c r="G80" s="33" t="s">
        <v>171</v>
      </c>
      <c r="H80" s="33" t="s">
        <v>92</v>
      </c>
      <c r="I80" s="40" t="s">
        <v>184</v>
      </c>
      <c r="J80" s="34" t="s">
        <v>155</v>
      </c>
      <c r="K80" s="39">
        <v>45382</v>
      </c>
      <c r="M80" s="7"/>
    </row>
    <row r="81" spans="2:13" ht="15.75" customHeight="1" x14ac:dyDescent="0.25">
      <c r="B81" s="38" t="s">
        <v>162</v>
      </c>
      <c r="C81" s="9" t="s">
        <v>101</v>
      </c>
      <c r="D81" s="9" t="s">
        <v>176</v>
      </c>
      <c r="E81" s="33" t="s">
        <v>179</v>
      </c>
      <c r="F81" s="33">
        <v>2460</v>
      </c>
      <c r="G81" s="33" t="s">
        <v>171</v>
      </c>
      <c r="H81" s="33" t="s">
        <v>92</v>
      </c>
      <c r="I81" s="40" t="s">
        <v>184</v>
      </c>
      <c r="J81" s="34" t="s">
        <v>155</v>
      </c>
      <c r="K81" s="39">
        <v>45382</v>
      </c>
      <c r="M81" s="7"/>
    </row>
    <row r="82" spans="2:13" ht="15.75" customHeight="1" x14ac:dyDescent="0.25">
      <c r="B82" s="38" t="s">
        <v>164</v>
      </c>
      <c r="C82" s="9" t="s">
        <v>101</v>
      </c>
      <c r="D82" s="9" t="s">
        <v>176</v>
      </c>
      <c r="E82" s="33" t="s">
        <v>180</v>
      </c>
      <c r="F82" s="33">
        <v>8405.0697098551755</v>
      </c>
      <c r="G82" s="33" t="s">
        <v>172</v>
      </c>
      <c r="H82" s="33" t="s">
        <v>92</v>
      </c>
      <c r="I82" s="40" t="s">
        <v>110</v>
      </c>
      <c r="J82" s="34" t="s">
        <v>106</v>
      </c>
      <c r="K82" s="39">
        <v>49429</v>
      </c>
      <c r="M82" s="7"/>
    </row>
    <row r="83" spans="2:13" ht="15.75" customHeight="1" x14ac:dyDescent="0.25">
      <c r="B83" s="38" t="s">
        <v>164</v>
      </c>
      <c r="C83" s="9" t="s">
        <v>101</v>
      </c>
      <c r="D83" s="9" t="s">
        <v>176</v>
      </c>
      <c r="E83" s="33" t="s">
        <v>180</v>
      </c>
      <c r="F83" s="33">
        <v>8496.4773257896632</v>
      </c>
      <c r="G83" s="33" t="s">
        <v>172</v>
      </c>
      <c r="H83" s="33" t="s">
        <v>92</v>
      </c>
      <c r="I83" s="40" t="s">
        <v>110</v>
      </c>
      <c r="J83" s="34" t="s">
        <v>106</v>
      </c>
      <c r="K83" s="39">
        <v>49429</v>
      </c>
      <c r="M83" s="7"/>
    </row>
    <row r="84" spans="2:13" ht="15.75" customHeight="1" x14ac:dyDescent="0.25">
      <c r="B84" s="38" t="s">
        <v>165</v>
      </c>
      <c r="C84" s="9" t="s">
        <v>101</v>
      </c>
      <c r="D84" s="9" t="s">
        <v>176</v>
      </c>
      <c r="E84" s="33" t="s">
        <v>180</v>
      </c>
      <c r="F84" s="33">
        <v>15405.82</v>
      </c>
      <c r="G84" s="33" t="s">
        <v>172</v>
      </c>
      <c r="H84" s="33" t="s">
        <v>92</v>
      </c>
      <c r="I84" s="40" t="s">
        <v>113</v>
      </c>
      <c r="J84" s="34" t="s">
        <v>155</v>
      </c>
      <c r="K84" s="39">
        <v>45930</v>
      </c>
      <c r="M84" s="7"/>
    </row>
    <row r="85" spans="2:13" ht="15.75" customHeight="1" x14ac:dyDescent="0.25">
      <c r="B85" s="38" t="s">
        <v>164</v>
      </c>
      <c r="C85" s="9" t="s">
        <v>101</v>
      </c>
      <c r="D85" s="9" t="s">
        <v>176</v>
      </c>
      <c r="E85" s="33" t="s">
        <v>180</v>
      </c>
      <c r="F85" s="33">
        <v>13286.332964355182</v>
      </c>
      <c r="G85" s="33" t="s">
        <v>172</v>
      </c>
      <c r="H85" s="33" t="s">
        <v>92</v>
      </c>
      <c r="I85" s="40" t="s">
        <v>110</v>
      </c>
      <c r="J85" s="34" t="s">
        <v>106</v>
      </c>
      <c r="K85" s="39">
        <v>49429</v>
      </c>
      <c r="M85" s="7"/>
    </row>
    <row r="86" spans="2:13" ht="15.75" customHeight="1" x14ac:dyDescent="0.25">
      <c r="B86" s="38" t="s">
        <v>166</v>
      </c>
      <c r="C86" s="9" t="s">
        <v>101</v>
      </c>
      <c r="D86" s="9" t="s">
        <v>177</v>
      </c>
      <c r="E86" s="33" t="s">
        <v>105</v>
      </c>
      <c r="F86" s="33">
        <v>964.17499999999995</v>
      </c>
      <c r="G86" s="33" t="s">
        <v>151</v>
      </c>
      <c r="H86" s="33" t="s">
        <v>92</v>
      </c>
      <c r="I86" s="40" t="s">
        <v>183</v>
      </c>
      <c r="J86" s="34" t="s">
        <v>106</v>
      </c>
      <c r="K86" s="39">
        <v>46111</v>
      </c>
      <c r="M86" s="7"/>
    </row>
    <row r="87" spans="2:13" ht="15.75" customHeight="1" x14ac:dyDescent="0.25">
      <c r="B87" s="38" t="s">
        <v>166</v>
      </c>
      <c r="C87" s="9" t="s">
        <v>101</v>
      </c>
      <c r="D87" s="9" t="s">
        <v>177</v>
      </c>
      <c r="E87" s="33" t="s">
        <v>105</v>
      </c>
      <c r="F87" s="33">
        <v>964.17499999999995</v>
      </c>
      <c r="G87" s="33" t="s">
        <v>151</v>
      </c>
      <c r="H87" s="33" t="s">
        <v>92</v>
      </c>
      <c r="I87" s="40" t="s">
        <v>183</v>
      </c>
      <c r="J87" s="34" t="s">
        <v>106</v>
      </c>
      <c r="K87" s="39">
        <v>46111</v>
      </c>
      <c r="M87" s="7"/>
    </row>
    <row r="88" spans="2:13" ht="15.75" customHeight="1" x14ac:dyDescent="0.25">
      <c r="B88" s="38" t="s">
        <v>167</v>
      </c>
      <c r="C88" s="9" t="s">
        <v>101</v>
      </c>
      <c r="D88" s="9" t="s">
        <v>177</v>
      </c>
      <c r="E88" s="33" t="s">
        <v>105</v>
      </c>
      <c r="F88" s="33">
        <v>432.59</v>
      </c>
      <c r="G88" s="33" t="s">
        <v>151</v>
      </c>
      <c r="H88" s="33" t="s">
        <v>92</v>
      </c>
      <c r="I88" s="40" t="s">
        <v>113</v>
      </c>
      <c r="J88" s="34" t="s">
        <v>106</v>
      </c>
      <c r="K88" s="39">
        <v>44108</v>
      </c>
      <c r="M88" s="7"/>
    </row>
    <row r="89" spans="2:13" ht="15.75" customHeight="1" x14ac:dyDescent="0.25">
      <c r="B89" s="38" t="s">
        <v>168</v>
      </c>
      <c r="C89" s="9" t="s">
        <v>101</v>
      </c>
      <c r="D89" s="9" t="s">
        <v>177</v>
      </c>
      <c r="E89" s="33" t="s">
        <v>104</v>
      </c>
      <c r="F89" s="33">
        <v>2084.69</v>
      </c>
      <c r="G89" s="33" t="s">
        <v>173</v>
      </c>
      <c r="H89" s="33" t="s">
        <v>92</v>
      </c>
      <c r="I89" s="40" t="s">
        <v>109</v>
      </c>
      <c r="J89" s="34" t="s">
        <v>106</v>
      </c>
      <c r="K89" s="39">
        <v>43921</v>
      </c>
      <c r="M89" s="7"/>
    </row>
    <row r="90" spans="2:13" ht="15.75" customHeight="1" x14ac:dyDescent="0.25">
      <c r="B90" s="38" t="s">
        <v>168</v>
      </c>
      <c r="C90" s="9" t="s">
        <v>101</v>
      </c>
      <c r="D90" s="9" t="s">
        <v>177</v>
      </c>
      <c r="E90" s="33" t="s">
        <v>104</v>
      </c>
      <c r="F90" s="33">
        <v>2062.81</v>
      </c>
      <c r="G90" s="33" t="s">
        <v>173</v>
      </c>
      <c r="H90" s="33" t="s">
        <v>92</v>
      </c>
      <c r="I90" s="40" t="s">
        <v>109</v>
      </c>
      <c r="J90" s="34" t="s">
        <v>106</v>
      </c>
      <c r="K90" s="39">
        <v>43921</v>
      </c>
      <c r="M90" s="7"/>
    </row>
    <row r="91" spans="2:13" ht="15.75" customHeight="1" x14ac:dyDescent="0.25">
      <c r="B91" s="38" t="s">
        <v>168</v>
      </c>
      <c r="C91" s="9" t="s">
        <v>101</v>
      </c>
      <c r="D91" s="9" t="s">
        <v>177</v>
      </c>
      <c r="E91" s="33" t="s">
        <v>104</v>
      </c>
      <c r="F91" s="33">
        <v>2084.69</v>
      </c>
      <c r="G91" s="33" t="s">
        <v>173</v>
      </c>
      <c r="H91" s="33" t="s">
        <v>92</v>
      </c>
      <c r="I91" s="40" t="s">
        <v>109</v>
      </c>
      <c r="J91" s="34" t="s">
        <v>106</v>
      </c>
      <c r="K91" s="39">
        <v>43921</v>
      </c>
      <c r="M91" s="7"/>
    </row>
    <row r="92" spans="2:13" ht="15.75" customHeight="1" x14ac:dyDescent="0.25">
      <c r="B92" s="38" t="s">
        <v>169</v>
      </c>
      <c r="C92" s="9" t="s">
        <v>101</v>
      </c>
      <c r="D92" s="9" t="s">
        <v>175</v>
      </c>
      <c r="E92" s="33" t="s">
        <v>181</v>
      </c>
      <c r="F92" s="33">
        <v>2895.08</v>
      </c>
      <c r="G92" s="33" t="s">
        <v>174</v>
      </c>
      <c r="H92" s="33" t="s">
        <v>92</v>
      </c>
      <c r="I92" s="40" t="s">
        <v>182</v>
      </c>
      <c r="J92" s="34" t="s">
        <v>106</v>
      </c>
      <c r="K92" s="39">
        <v>46965</v>
      </c>
      <c r="M92" s="7"/>
    </row>
    <row r="93" spans="2:13" ht="15.75" customHeight="1" x14ac:dyDescent="0.25">
      <c r="B93" s="38" t="s">
        <v>169</v>
      </c>
      <c r="C93" s="9" t="s">
        <v>101</v>
      </c>
      <c r="D93" s="9" t="s">
        <v>175</v>
      </c>
      <c r="E93" s="33" t="s">
        <v>181</v>
      </c>
      <c r="F93" s="33">
        <v>2865.91</v>
      </c>
      <c r="G93" s="33" t="s">
        <v>174</v>
      </c>
      <c r="H93" s="33" t="s">
        <v>92</v>
      </c>
      <c r="I93" s="40" t="s">
        <v>182</v>
      </c>
      <c r="J93" s="34" t="s">
        <v>106</v>
      </c>
      <c r="K93" s="39">
        <v>46965</v>
      </c>
      <c r="M93" s="7"/>
    </row>
    <row r="94" spans="2:13" ht="15.75" customHeight="1" x14ac:dyDescent="0.25">
      <c r="B94" s="38" t="s">
        <v>169</v>
      </c>
      <c r="C94" s="9" t="s">
        <v>101</v>
      </c>
      <c r="D94" s="9" t="s">
        <v>175</v>
      </c>
      <c r="E94" s="33" t="s">
        <v>181</v>
      </c>
      <c r="F94" s="33">
        <v>2865.91</v>
      </c>
      <c r="G94" s="33" t="s">
        <v>174</v>
      </c>
      <c r="H94" s="33" t="s">
        <v>92</v>
      </c>
      <c r="I94" s="40" t="s">
        <v>182</v>
      </c>
      <c r="J94" s="34" t="s">
        <v>106</v>
      </c>
      <c r="K94" s="39">
        <v>46965</v>
      </c>
      <c r="M94" s="7"/>
    </row>
    <row r="95" spans="2:13" ht="15.75" customHeight="1" x14ac:dyDescent="0.25">
      <c r="B95" s="38" t="s">
        <v>169</v>
      </c>
      <c r="C95" s="9" t="s">
        <v>101</v>
      </c>
      <c r="D95" s="9" t="s">
        <v>175</v>
      </c>
      <c r="E95" s="33" t="s">
        <v>181</v>
      </c>
      <c r="F95" s="33">
        <v>2865.91</v>
      </c>
      <c r="G95" s="33" t="s">
        <v>174</v>
      </c>
      <c r="H95" s="33" t="s">
        <v>92</v>
      </c>
      <c r="I95" s="40" t="s">
        <v>182</v>
      </c>
      <c r="J95" s="34" t="s">
        <v>106</v>
      </c>
      <c r="K95" s="39">
        <v>46965</v>
      </c>
      <c r="M95" s="7"/>
    </row>
    <row r="96" spans="2:13" ht="15.75" customHeight="1" x14ac:dyDescent="0.25">
      <c r="B96" s="38" t="s">
        <v>169</v>
      </c>
      <c r="C96" s="9" t="s">
        <v>101</v>
      </c>
      <c r="D96" s="9" t="s">
        <v>175</v>
      </c>
      <c r="E96" s="33" t="s">
        <v>181</v>
      </c>
      <c r="F96" s="33">
        <v>2865.91</v>
      </c>
      <c r="G96" s="33" t="s">
        <v>174</v>
      </c>
      <c r="H96" s="33" t="s">
        <v>92</v>
      </c>
      <c r="I96" s="40" t="s">
        <v>182</v>
      </c>
      <c r="J96" s="34" t="s">
        <v>106</v>
      </c>
      <c r="K96" s="39">
        <v>46965</v>
      </c>
      <c r="M96" s="7"/>
    </row>
    <row r="97" spans="2:13" ht="15.75" customHeight="1" x14ac:dyDescent="0.25">
      <c r="B97" s="38" t="s">
        <v>169</v>
      </c>
      <c r="C97" s="9" t="s">
        <v>101</v>
      </c>
      <c r="D97" s="9" t="s">
        <v>175</v>
      </c>
      <c r="E97" s="33" t="s">
        <v>181</v>
      </c>
      <c r="F97" s="33">
        <v>2895.08</v>
      </c>
      <c r="G97" s="33" t="s">
        <v>174</v>
      </c>
      <c r="H97" s="33" t="s">
        <v>92</v>
      </c>
      <c r="I97" s="40" t="s">
        <v>182</v>
      </c>
      <c r="J97" s="34" t="s">
        <v>106</v>
      </c>
      <c r="K97" s="39">
        <v>46965</v>
      </c>
      <c r="M97" s="7"/>
    </row>
  </sheetData>
  <autoFilter ref="B4:K97"/>
  <mergeCells count="10">
    <mergeCell ref="H4:H5"/>
    <mergeCell ref="K4:K5"/>
    <mergeCell ref="I4:I5"/>
    <mergeCell ref="J4:J5"/>
    <mergeCell ref="B4:B5"/>
    <mergeCell ref="C4:C5"/>
    <mergeCell ref="E4:E5"/>
    <mergeCell ref="D4:D5"/>
    <mergeCell ref="G4:G5"/>
    <mergeCell ref="F4:F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"/>
  <sheetViews>
    <sheetView showGridLines="0" showRowColHeaders="0" tabSelected="1" zoomScaleNormal="100" workbookViewId="0">
      <pane xSplit="2" ySplit="4" topLeftCell="R5" activePane="bottomRight" state="frozen"/>
      <selection pane="topRight" activeCell="C1" sqref="C1"/>
      <selection pane="bottomLeft" activeCell="A5" sqref="A5"/>
      <selection pane="bottomRight" activeCell="W85" sqref="W85"/>
    </sheetView>
  </sheetViews>
  <sheetFormatPr defaultColWidth="9.140625" defaultRowHeight="15.75" customHeight="1" x14ac:dyDescent="0.25"/>
  <cols>
    <col min="1" max="1" width="3.140625" style="3" customWidth="1"/>
    <col min="2" max="2" width="85.7109375" style="10" customWidth="1"/>
    <col min="3" max="3" width="16" style="11" customWidth="1"/>
    <col min="4" max="23" width="14.85546875" style="11" bestFit="1" customWidth="1"/>
    <col min="24" max="16384" width="9.140625" style="4"/>
  </cols>
  <sheetData>
    <row r="1" spans="2:23" s="3" customFormat="1" ht="56.25" customHeight="1" x14ac:dyDescent="0.25"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2:23" s="3" customFormat="1" ht="15.75" customHeight="1" x14ac:dyDescent="0.25">
      <c r="B2" s="2" t="s">
        <v>132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2:23" s="3" customFormat="1" ht="15.75" customHeight="1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2:23" ht="15.75" customHeight="1" x14ac:dyDescent="0.25">
      <c r="B4" s="35" t="s">
        <v>15</v>
      </c>
      <c r="C4" s="37">
        <v>43282</v>
      </c>
      <c r="D4" s="37">
        <f>IFERROR(EDATE(C4,1),0)</f>
        <v>43313</v>
      </c>
      <c r="E4" s="36">
        <f>IFERROR(EDATE(D4,1),0)</f>
        <v>43344</v>
      </c>
      <c r="F4" s="36">
        <f>IFERROR(EDATE(E4,1),0)</f>
        <v>43374</v>
      </c>
      <c r="G4" s="36">
        <f>IFERROR(EDATE(F4,1),0)</f>
        <v>43405</v>
      </c>
      <c r="H4" s="36">
        <f>IFERROR(EDATE(G4,1),0)</f>
        <v>43435</v>
      </c>
      <c r="I4" s="36">
        <f t="shared" ref="I4:O4" si="0">IFERROR(EDATE(H4,1),0)</f>
        <v>43466</v>
      </c>
      <c r="J4" s="36">
        <f t="shared" si="0"/>
        <v>43497</v>
      </c>
      <c r="K4" s="36">
        <f t="shared" si="0"/>
        <v>43525</v>
      </c>
      <c r="L4" s="36">
        <f t="shared" si="0"/>
        <v>43556</v>
      </c>
      <c r="M4" s="36">
        <f t="shared" si="0"/>
        <v>43586</v>
      </c>
      <c r="N4" s="36">
        <f t="shared" si="0"/>
        <v>43617</v>
      </c>
      <c r="O4" s="36">
        <f t="shared" si="0"/>
        <v>43647</v>
      </c>
      <c r="P4" s="36">
        <f t="shared" ref="P4:Q4" si="1">IFERROR(EDATE(O4,1),0)</f>
        <v>43678</v>
      </c>
      <c r="Q4" s="36">
        <f t="shared" si="1"/>
        <v>43709</v>
      </c>
      <c r="R4" s="36">
        <f t="shared" ref="R4" si="2">IFERROR(EDATE(Q4,1),0)</f>
        <v>43739</v>
      </c>
      <c r="S4" s="36">
        <f t="shared" ref="S4" si="3">IFERROR(EDATE(R4,1),0)</f>
        <v>43770</v>
      </c>
      <c r="T4" s="36">
        <f t="shared" ref="T4" si="4">IFERROR(EDATE(S4,1),0)</f>
        <v>43800</v>
      </c>
      <c r="U4" s="36">
        <f t="shared" ref="U4" si="5">IFERROR(EDATE(T4,1),0)</f>
        <v>43831</v>
      </c>
      <c r="V4" s="36">
        <f t="shared" ref="V4" si="6">IFERROR(EDATE(U4,1),0)</f>
        <v>43862</v>
      </c>
      <c r="W4" s="36">
        <f t="shared" ref="W4" si="7">IFERROR(EDATE(V4,1),0)</f>
        <v>43891</v>
      </c>
    </row>
    <row r="5" spans="2:23" ht="15.75" customHeight="1" x14ac:dyDescent="0.25">
      <c r="B5" s="15" t="s">
        <v>16</v>
      </c>
      <c r="C5" s="14">
        <f t="shared" ref="C5:H5" si="8">SUM(C6,C7:C14)</f>
        <v>110198.63</v>
      </c>
      <c r="D5" s="14">
        <f t="shared" si="8"/>
        <v>829860.33</v>
      </c>
      <c r="E5" s="12">
        <f t="shared" si="8"/>
        <v>818696.74999999988</v>
      </c>
      <c r="F5" s="12">
        <f t="shared" si="8"/>
        <v>966747.80999999994</v>
      </c>
      <c r="G5" s="12">
        <f t="shared" si="8"/>
        <v>840673.1</v>
      </c>
      <c r="H5" s="12">
        <f t="shared" si="8"/>
        <v>1398102.9800000002</v>
      </c>
      <c r="I5" s="12">
        <f t="shared" ref="I5" si="9">SUM(I6,I7:I14)</f>
        <v>1445191.89</v>
      </c>
      <c r="J5" s="12">
        <f t="shared" ref="J5" si="10">SUM(J6,J7:J14)</f>
        <v>1667493.63</v>
      </c>
      <c r="K5" s="12">
        <f t="shared" ref="K5" si="11">SUM(K6,K7:K14)</f>
        <v>1653783.63</v>
      </c>
      <c r="L5" s="12">
        <f t="shared" ref="L5" si="12">SUM(L6,L7:L14)</f>
        <v>1740247.79</v>
      </c>
      <c r="M5" s="12">
        <f t="shared" ref="M5" si="13">SUM(M6,M7:M14)</f>
        <v>1957570.1500000001</v>
      </c>
      <c r="N5" s="12">
        <f t="shared" ref="N5" si="14">SUM(N6,N7:N14)</f>
        <v>1866527.55</v>
      </c>
      <c r="O5" s="12">
        <f t="shared" ref="O5" si="15">SUM(O6,O7:O14)</f>
        <v>1998563.57</v>
      </c>
      <c r="P5" s="12">
        <f t="shared" ref="P5" si="16">SUM(P6,P7:P14)</f>
        <v>1764816.03</v>
      </c>
      <c r="Q5" s="12">
        <f t="shared" ref="Q5:W5" si="17">SUM(Q6,Q7:Q14)</f>
        <v>1599535.96</v>
      </c>
      <c r="R5" s="12">
        <f t="shared" si="17"/>
        <v>1956620.69</v>
      </c>
      <c r="S5" s="12">
        <f t="shared" si="17"/>
        <v>1981619.2200000002</v>
      </c>
      <c r="T5" s="12">
        <f t="shared" si="17"/>
        <v>1858493.83</v>
      </c>
      <c r="U5" s="12">
        <f t="shared" si="17"/>
        <v>1836080.8599999999</v>
      </c>
      <c r="V5" s="12">
        <f t="shared" si="17"/>
        <v>1657398.87</v>
      </c>
      <c r="W5" s="12">
        <f t="shared" si="17"/>
        <v>1793997.8800000001</v>
      </c>
    </row>
    <row r="6" spans="2:23" ht="15.75" customHeight="1" x14ac:dyDescent="0.25">
      <c r="B6" s="16" t="s">
        <v>17</v>
      </c>
      <c r="C6" s="13">
        <v>110198.63</v>
      </c>
      <c r="D6" s="13">
        <v>829860.33</v>
      </c>
      <c r="E6" s="13">
        <v>818696.74999999988</v>
      </c>
      <c r="F6" s="13">
        <v>966747.80999999994</v>
      </c>
      <c r="G6" s="13">
        <v>840673.1</v>
      </c>
      <c r="H6" s="13">
        <v>1398102.9800000002</v>
      </c>
      <c r="I6" s="13">
        <v>1445191.89</v>
      </c>
      <c r="J6" s="13">
        <v>1667493.63</v>
      </c>
      <c r="K6" s="13">
        <v>1653783.63</v>
      </c>
      <c r="L6" s="13">
        <v>1740247.79</v>
      </c>
      <c r="M6" s="13">
        <v>1957570.1500000001</v>
      </c>
      <c r="N6" s="13">
        <v>1866527.55</v>
      </c>
      <c r="O6" s="13">
        <v>1998563.57</v>
      </c>
      <c r="P6" s="13">
        <v>1764816.03</v>
      </c>
      <c r="Q6" s="13">
        <v>1599535.96</v>
      </c>
      <c r="R6" s="13">
        <v>1956620.69</v>
      </c>
      <c r="S6" s="13">
        <v>1981619.2200000002</v>
      </c>
      <c r="T6" s="13">
        <v>1858493.83</v>
      </c>
      <c r="U6" s="13">
        <v>1836080.8599999999</v>
      </c>
      <c r="V6" s="13">
        <v>1657398.87</v>
      </c>
      <c r="W6" s="13">
        <v>1793997.8800000001</v>
      </c>
    </row>
    <row r="7" spans="2:23" ht="15.75" customHeight="1" x14ac:dyDescent="0.25">
      <c r="B7" s="17" t="s">
        <v>18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</row>
    <row r="8" spans="2:23" ht="15.75" customHeight="1" x14ac:dyDescent="0.25">
      <c r="B8" s="17" t="s">
        <v>19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</row>
    <row r="9" spans="2:23" ht="15.75" customHeight="1" x14ac:dyDescent="0.25">
      <c r="B9" s="17" t="s">
        <v>20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</row>
    <row r="10" spans="2:23" ht="15.75" customHeight="1" x14ac:dyDescent="0.25">
      <c r="B10" s="17" t="s">
        <v>21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  <row r="11" spans="2:23" ht="15.75" customHeight="1" x14ac:dyDescent="0.25">
      <c r="B11" s="17" t="s">
        <v>22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</row>
    <row r="12" spans="2:23" ht="15.75" customHeight="1" x14ac:dyDescent="0.25">
      <c r="B12" s="17" t="s">
        <v>23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</row>
    <row r="13" spans="2:23" ht="15.75" customHeight="1" x14ac:dyDescent="0.25">
      <c r="B13" s="17" t="s">
        <v>24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</row>
    <row r="14" spans="2:23" ht="15.75" customHeight="1" x14ac:dyDescent="0.25">
      <c r="B14" s="17" t="s">
        <v>25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</row>
    <row r="16" spans="2:23" ht="15.75" customHeight="1" x14ac:dyDescent="0.25">
      <c r="B16" s="15" t="s">
        <v>26</v>
      </c>
      <c r="C16" s="19">
        <f t="shared" ref="C16:H16" si="18">SUM(C17:C17)</f>
        <v>0</v>
      </c>
      <c r="D16" s="19">
        <f t="shared" si="18"/>
        <v>0</v>
      </c>
      <c r="E16" s="20">
        <f t="shared" si="18"/>
        <v>0</v>
      </c>
      <c r="F16" s="20">
        <f t="shared" si="18"/>
        <v>0</v>
      </c>
      <c r="G16" s="20">
        <f t="shared" si="18"/>
        <v>0</v>
      </c>
      <c r="H16" s="20">
        <f t="shared" si="18"/>
        <v>0</v>
      </c>
      <c r="I16" s="20">
        <f t="shared" ref="I16" si="19">SUM(I17:I17)</f>
        <v>0</v>
      </c>
      <c r="J16" s="20">
        <f t="shared" ref="J16" si="20">SUM(J17:J17)</f>
        <v>0</v>
      </c>
      <c r="K16" s="20">
        <f t="shared" ref="K16" si="21">SUM(K17:K17)</f>
        <v>0</v>
      </c>
      <c r="L16" s="20">
        <f t="shared" ref="L16" si="22">SUM(L17:L17)</f>
        <v>0</v>
      </c>
      <c r="M16" s="20">
        <f t="shared" ref="M16" si="23">SUM(M17:M17)</f>
        <v>0</v>
      </c>
      <c r="N16" s="20">
        <f t="shared" ref="N16" si="24">SUM(N17:N17)</f>
        <v>0</v>
      </c>
      <c r="O16" s="20">
        <f t="shared" ref="O16" si="25">SUM(O17:O17)</f>
        <v>0</v>
      </c>
      <c r="P16" s="20">
        <f t="shared" ref="P16" si="26">SUM(P17:P17)</f>
        <v>0</v>
      </c>
      <c r="Q16" s="20">
        <f t="shared" ref="Q16:W16" si="27">SUM(Q17:Q17)</f>
        <v>0</v>
      </c>
      <c r="R16" s="20">
        <f t="shared" si="27"/>
        <v>0</v>
      </c>
      <c r="S16" s="20">
        <f t="shared" si="27"/>
        <v>0</v>
      </c>
      <c r="T16" s="20">
        <f t="shared" si="27"/>
        <v>0</v>
      </c>
      <c r="U16" s="20">
        <f t="shared" si="27"/>
        <v>0</v>
      </c>
      <c r="V16" s="20">
        <f t="shared" si="27"/>
        <v>0</v>
      </c>
      <c r="W16" s="20">
        <f t="shared" si="27"/>
        <v>0</v>
      </c>
    </row>
    <row r="17" spans="2:23" ht="15.75" customHeight="1" x14ac:dyDescent="0.25">
      <c r="B17" s="16" t="s">
        <v>27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</row>
    <row r="19" spans="2:23" ht="15.75" customHeight="1" x14ac:dyDescent="0.25">
      <c r="B19" s="15" t="s">
        <v>28</v>
      </c>
      <c r="C19" s="19">
        <f t="shared" ref="C19:E19" si="28">SUM(C20:C23)</f>
        <v>0</v>
      </c>
      <c r="D19" s="19">
        <f t="shared" si="28"/>
        <v>0</v>
      </c>
      <c r="E19" s="20">
        <f t="shared" si="28"/>
        <v>0</v>
      </c>
      <c r="F19" s="20">
        <f t="shared" ref="F19:G19" si="29">SUM(F20:F23)</f>
        <v>0</v>
      </c>
      <c r="G19" s="20">
        <f t="shared" si="29"/>
        <v>0</v>
      </c>
      <c r="H19" s="20">
        <f t="shared" ref="H19:O19" si="30">SUM(H20:H23)</f>
        <v>0</v>
      </c>
      <c r="I19" s="20">
        <f t="shared" si="30"/>
        <v>0</v>
      </c>
      <c r="J19" s="20">
        <f t="shared" si="30"/>
        <v>0</v>
      </c>
      <c r="K19" s="20">
        <f t="shared" si="30"/>
        <v>0</v>
      </c>
      <c r="L19" s="20">
        <f t="shared" si="30"/>
        <v>0</v>
      </c>
      <c r="M19" s="20">
        <f t="shared" si="30"/>
        <v>0</v>
      </c>
      <c r="N19" s="20">
        <f t="shared" si="30"/>
        <v>0</v>
      </c>
      <c r="O19" s="20">
        <f t="shared" si="30"/>
        <v>0</v>
      </c>
      <c r="P19" s="20">
        <f t="shared" ref="P19:Q19" si="31">SUM(P20:P23)</f>
        <v>0</v>
      </c>
      <c r="Q19" s="20">
        <f t="shared" si="31"/>
        <v>0</v>
      </c>
      <c r="R19" s="20">
        <f t="shared" ref="R19:W19" si="32">SUM(R20:R23)</f>
        <v>0</v>
      </c>
      <c r="S19" s="20">
        <f t="shared" si="32"/>
        <v>0</v>
      </c>
      <c r="T19" s="20">
        <f t="shared" si="32"/>
        <v>0</v>
      </c>
      <c r="U19" s="20">
        <f t="shared" si="32"/>
        <v>0</v>
      </c>
      <c r="V19" s="20">
        <f t="shared" si="32"/>
        <v>0</v>
      </c>
      <c r="W19" s="20">
        <f t="shared" si="32"/>
        <v>0</v>
      </c>
    </row>
    <row r="20" spans="2:23" ht="15.75" customHeight="1" x14ac:dyDescent="0.25">
      <c r="B20" s="16" t="s">
        <v>29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</row>
    <row r="21" spans="2:23" ht="15.75" customHeight="1" x14ac:dyDescent="0.25">
      <c r="B21" s="17" t="s">
        <v>30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</row>
    <row r="22" spans="2:23" ht="15.75" customHeight="1" x14ac:dyDescent="0.25">
      <c r="B22" s="17" t="s">
        <v>31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</row>
    <row r="23" spans="2:23" ht="15.75" customHeight="1" x14ac:dyDescent="0.25">
      <c r="B23" s="17" t="s">
        <v>32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</row>
    <row r="25" spans="2:23" ht="15.75" customHeight="1" x14ac:dyDescent="0.25">
      <c r="B25" s="15" t="s">
        <v>33</v>
      </c>
      <c r="C25" s="19">
        <f t="shared" ref="C25:E25" si="33">SUM(C26:C30)</f>
        <v>0</v>
      </c>
      <c r="D25" s="19">
        <f t="shared" si="33"/>
        <v>-17926.166612903224</v>
      </c>
      <c r="E25" s="20">
        <f t="shared" si="33"/>
        <v>-20258.503387096775</v>
      </c>
      <c r="F25" s="20">
        <f t="shared" ref="F25:G25" si="34">SUM(F26:F30)</f>
        <v>-20409.05</v>
      </c>
      <c r="G25" s="20">
        <f t="shared" si="34"/>
        <v>0</v>
      </c>
      <c r="H25" s="20">
        <f t="shared" ref="H25:O25" si="35">SUM(H26:H30)</f>
        <v>-54115.09</v>
      </c>
      <c r="I25" s="20">
        <f t="shared" si="35"/>
        <v>-33706.04</v>
      </c>
      <c r="J25" s="20">
        <f t="shared" si="35"/>
        <v>-33706.04</v>
      </c>
      <c r="K25" s="20">
        <f t="shared" si="35"/>
        <v>-36336.83</v>
      </c>
      <c r="L25" s="20">
        <f t="shared" si="35"/>
        <v>-36336.83</v>
      </c>
      <c r="M25" s="20">
        <f t="shared" si="35"/>
        <v>-36336.83</v>
      </c>
      <c r="N25" s="20">
        <f t="shared" si="35"/>
        <v>-36336.83</v>
      </c>
      <c r="O25" s="20">
        <f t="shared" si="35"/>
        <v>-36336.83</v>
      </c>
      <c r="P25" s="20">
        <f t="shared" ref="P25:Q25" si="36">SUM(P26:P30)</f>
        <v>-37560.080000000002</v>
      </c>
      <c r="Q25" s="20">
        <f t="shared" si="36"/>
        <v>-37560.080000000002</v>
      </c>
      <c r="R25" s="20">
        <f t="shared" ref="R25:W25" si="37">SUM(R26:R30)</f>
        <v>-38520.39</v>
      </c>
      <c r="S25" s="20">
        <f t="shared" si="37"/>
        <v>-37560.080000000002</v>
      </c>
      <c r="T25" s="20">
        <f t="shared" si="37"/>
        <v>-37560.080000000002</v>
      </c>
      <c r="U25" s="20">
        <f t="shared" si="37"/>
        <v>-37560.080000000002</v>
      </c>
      <c r="V25" s="20">
        <f t="shared" si="37"/>
        <v>-37560.080000000002</v>
      </c>
      <c r="W25" s="20">
        <f t="shared" si="37"/>
        <v>-37560.080000000002</v>
      </c>
    </row>
    <row r="26" spans="2:23" ht="15.75" customHeight="1" x14ac:dyDescent="0.25">
      <c r="B26" s="16" t="s">
        <v>34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</row>
    <row r="27" spans="2:23" ht="15.75" customHeight="1" x14ac:dyDescent="0.25">
      <c r="B27" s="17" t="s">
        <v>35</v>
      </c>
      <c r="C27" s="8">
        <v>0</v>
      </c>
      <c r="D27" s="8">
        <v>-17926.166612903224</v>
      </c>
      <c r="E27" s="8">
        <v>-20258.503387096775</v>
      </c>
      <c r="F27" s="8">
        <v>-20409.05</v>
      </c>
      <c r="G27" s="8">
        <v>0</v>
      </c>
      <c r="H27" s="8">
        <v>-54115.09</v>
      </c>
      <c r="I27" s="8">
        <v>-33706.04</v>
      </c>
      <c r="J27" s="8">
        <v>-33706.04</v>
      </c>
      <c r="K27" s="8">
        <v>-36336.83</v>
      </c>
      <c r="L27" s="8">
        <v>-36336.83</v>
      </c>
      <c r="M27" s="8">
        <v>-36336.83</v>
      </c>
      <c r="N27" s="8">
        <v>-36336.83</v>
      </c>
      <c r="O27" s="8">
        <v>-36336.83</v>
      </c>
      <c r="P27" s="8">
        <v>-37560.080000000002</v>
      </c>
      <c r="Q27" s="8">
        <v>-37560.080000000002</v>
      </c>
      <c r="R27" s="8">
        <v>-38520.39</v>
      </c>
      <c r="S27" s="8">
        <v>-37560.080000000002</v>
      </c>
      <c r="T27" s="8">
        <v>-37560.080000000002</v>
      </c>
      <c r="U27" s="8">
        <v>-37560.080000000002</v>
      </c>
      <c r="V27" s="8">
        <v>-37560.080000000002</v>
      </c>
      <c r="W27" s="8">
        <v>-37560.080000000002</v>
      </c>
    </row>
    <row r="28" spans="2:23" ht="15.75" customHeight="1" x14ac:dyDescent="0.25">
      <c r="B28" s="17" t="s">
        <v>36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</row>
    <row r="29" spans="2:23" ht="15.75" customHeight="1" x14ac:dyDescent="0.25">
      <c r="B29" s="17" t="s">
        <v>37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</row>
    <row r="30" spans="2:23" ht="15.75" customHeight="1" x14ac:dyDescent="0.25">
      <c r="B30" s="17" t="s">
        <v>38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</row>
    <row r="32" spans="2:23" ht="15.75" customHeight="1" x14ac:dyDescent="0.25">
      <c r="B32" s="15" t="s">
        <v>39</v>
      </c>
      <c r="C32" s="19">
        <f t="shared" ref="C32:H32" si="38">SUM(C25,C19,C16,C5)</f>
        <v>110198.63</v>
      </c>
      <c r="D32" s="19">
        <f t="shared" si="38"/>
        <v>811934.16338709672</v>
      </c>
      <c r="E32" s="19">
        <f t="shared" si="38"/>
        <v>798438.24661290308</v>
      </c>
      <c r="F32" s="19">
        <f t="shared" si="38"/>
        <v>946338.75999999989</v>
      </c>
      <c r="G32" s="19">
        <f t="shared" si="38"/>
        <v>840673.1</v>
      </c>
      <c r="H32" s="19">
        <f t="shared" si="38"/>
        <v>1343987.8900000001</v>
      </c>
      <c r="I32" s="19">
        <f t="shared" ref="I32:O32" si="39">SUM(I25,I19,I16,I5)</f>
        <v>1411485.8499999999</v>
      </c>
      <c r="J32" s="19">
        <f t="shared" si="39"/>
        <v>1633787.5899999999</v>
      </c>
      <c r="K32" s="19">
        <f t="shared" si="39"/>
        <v>1617446.7999999998</v>
      </c>
      <c r="L32" s="19">
        <f t="shared" si="39"/>
        <v>1703910.96</v>
      </c>
      <c r="M32" s="19">
        <f t="shared" si="39"/>
        <v>1921233.32</v>
      </c>
      <c r="N32" s="19">
        <f t="shared" si="39"/>
        <v>1830190.72</v>
      </c>
      <c r="O32" s="19">
        <f t="shared" si="39"/>
        <v>1962226.74</v>
      </c>
      <c r="P32" s="19">
        <f t="shared" ref="P32:Q32" si="40">SUM(P25,P19,P16,P5)</f>
        <v>1727255.95</v>
      </c>
      <c r="Q32" s="19">
        <f t="shared" si="40"/>
        <v>1561975.88</v>
      </c>
      <c r="R32" s="19">
        <f t="shared" ref="R32:W32" si="41">SUM(R25,R19,R16,R5)</f>
        <v>1918100.3</v>
      </c>
      <c r="S32" s="19">
        <f t="shared" si="41"/>
        <v>1944059.1400000001</v>
      </c>
      <c r="T32" s="19">
        <f t="shared" si="41"/>
        <v>1820933.75</v>
      </c>
      <c r="U32" s="19">
        <f t="shared" si="41"/>
        <v>1798520.7799999998</v>
      </c>
      <c r="V32" s="19">
        <f t="shared" si="41"/>
        <v>1619838.79</v>
      </c>
      <c r="W32" s="19">
        <f t="shared" si="41"/>
        <v>1756437.8</v>
      </c>
    </row>
    <row r="33" spans="2:23" ht="15.75" customHeight="1" x14ac:dyDescent="0.25">
      <c r="B33" s="18"/>
    </row>
    <row r="34" spans="2:23" ht="15.75" customHeight="1" x14ac:dyDescent="0.25">
      <c r="B34" s="15" t="s">
        <v>40</v>
      </c>
      <c r="C34" s="19">
        <f t="shared" ref="C34:E34" si="42">SUM(C35:C39)</f>
        <v>0</v>
      </c>
      <c r="D34" s="19">
        <f t="shared" si="42"/>
        <v>0</v>
      </c>
      <c r="E34" s="20">
        <f t="shared" si="42"/>
        <v>0</v>
      </c>
      <c r="F34" s="20">
        <f t="shared" ref="F34:G34" si="43">SUM(F35:F39)</f>
        <v>0</v>
      </c>
      <c r="G34" s="20">
        <f t="shared" si="43"/>
        <v>0</v>
      </c>
      <c r="H34" s="20">
        <f t="shared" ref="H34:O34" si="44">SUM(H35:H39)</f>
        <v>0</v>
      </c>
      <c r="I34" s="20">
        <f t="shared" si="44"/>
        <v>0</v>
      </c>
      <c r="J34" s="20">
        <f t="shared" si="44"/>
        <v>0</v>
      </c>
      <c r="K34" s="20">
        <f t="shared" si="44"/>
        <v>0</v>
      </c>
      <c r="L34" s="20">
        <f t="shared" si="44"/>
        <v>0</v>
      </c>
      <c r="M34" s="20">
        <f t="shared" si="44"/>
        <v>0</v>
      </c>
      <c r="N34" s="20">
        <f t="shared" si="44"/>
        <v>0</v>
      </c>
      <c r="O34" s="20">
        <f t="shared" si="44"/>
        <v>0</v>
      </c>
      <c r="P34" s="20">
        <f t="shared" ref="P34:Q34" si="45">SUM(P35:P39)</f>
        <v>0</v>
      </c>
      <c r="Q34" s="20">
        <f t="shared" si="45"/>
        <v>0</v>
      </c>
      <c r="R34" s="20">
        <f t="shared" ref="R34:W34" si="46">SUM(R35:R39)</f>
        <v>0</v>
      </c>
      <c r="S34" s="20">
        <f t="shared" si="46"/>
        <v>0</v>
      </c>
      <c r="T34" s="20">
        <f t="shared" si="46"/>
        <v>0</v>
      </c>
      <c r="U34" s="20">
        <f t="shared" si="46"/>
        <v>0</v>
      </c>
      <c r="V34" s="20">
        <f t="shared" si="46"/>
        <v>0</v>
      </c>
      <c r="W34" s="20">
        <f t="shared" si="46"/>
        <v>0</v>
      </c>
    </row>
    <row r="35" spans="2:23" ht="15.75" customHeight="1" x14ac:dyDescent="0.25">
      <c r="B35" s="16" t="s">
        <v>41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</row>
    <row r="36" spans="2:23" ht="15.75" customHeight="1" x14ac:dyDescent="0.25">
      <c r="B36" s="17" t="s">
        <v>42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</row>
    <row r="37" spans="2:23" ht="15.75" customHeight="1" x14ac:dyDescent="0.25">
      <c r="B37" s="17" t="s">
        <v>43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</row>
    <row r="38" spans="2:23" ht="15.75" customHeight="1" x14ac:dyDescent="0.25">
      <c r="B38" s="17" t="s">
        <v>44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</row>
    <row r="39" spans="2:23" ht="15.75" customHeight="1" x14ac:dyDescent="0.25">
      <c r="B39" s="17" t="s">
        <v>45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</row>
    <row r="41" spans="2:23" ht="15.75" customHeight="1" x14ac:dyDescent="0.25">
      <c r="B41" s="15" t="s">
        <v>46</v>
      </c>
      <c r="C41" s="19">
        <f t="shared" ref="C41:E41" si="47">SUM(C32,C34)</f>
        <v>110198.63</v>
      </c>
      <c r="D41" s="19">
        <f t="shared" si="47"/>
        <v>811934.16338709672</v>
      </c>
      <c r="E41" s="19">
        <f t="shared" si="47"/>
        <v>798438.24661290308</v>
      </c>
      <c r="F41" s="19">
        <f t="shared" ref="F41:G41" si="48">SUM(F32,F34)</f>
        <v>946338.75999999989</v>
      </c>
      <c r="G41" s="19">
        <f t="shared" si="48"/>
        <v>840673.1</v>
      </c>
      <c r="H41" s="19">
        <f t="shared" ref="H41:O41" si="49">SUM(H32,H34)</f>
        <v>1343987.8900000001</v>
      </c>
      <c r="I41" s="19">
        <f t="shared" si="49"/>
        <v>1411485.8499999999</v>
      </c>
      <c r="J41" s="19">
        <f t="shared" si="49"/>
        <v>1633787.5899999999</v>
      </c>
      <c r="K41" s="19">
        <f t="shared" si="49"/>
        <v>1617446.7999999998</v>
      </c>
      <c r="L41" s="19">
        <f t="shared" si="49"/>
        <v>1703910.96</v>
      </c>
      <c r="M41" s="19">
        <f t="shared" si="49"/>
        <v>1921233.32</v>
      </c>
      <c r="N41" s="19">
        <f t="shared" si="49"/>
        <v>1830190.72</v>
      </c>
      <c r="O41" s="19">
        <f t="shared" si="49"/>
        <v>1962226.74</v>
      </c>
      <c r="P41" s="19">
        <f t="shared" ref="P41:Q41" si="50">SUM(P32,P34)</f>
        <v>1727255.95</v>
      </c>
      <c r="Q41" s="19">
        <f t="shared" si="50"/>
        <v>1561975.88</v>
      </c>
      <c r="R41" s="19">
        <f t="shared" ref="R41:W41" si="51">SUM(R32,R34)</f>
        <v>1918100.3</v>
      </c>
      <c r="S41" s="19">
        <f t="shared" si="51"/>
        <v>1944059.1400000001</v>
      </c>
      <c r="T41" s="19">
        <f t="shared" si="51"/>
        <v>1820933.75</v>
      </c>
      <c r="U41" s="19">
        <f t="shared" si="51"/>
        <v>1798520.7799999998</v>
      </c>
      <c r="V41" s="19">
        <f t="shared" si="51"/>
        <v>1619838.79</v>
      </c>
      <c r="W41" s="19">
        <f t="shared" si="51"/>
        <v>1756437.8</v>
      </c>
    </row>
    <row r="42" spans="2:23" ht="15.75" customHeight="1" x14ac:dyDescent="0.25">
      <c r="B42" s="18"/>
    </row>
    <row r="43" spans="2:23" ht="15.75" customHeight="1" x14ac:dyDescent="0.25">
      <c r="B43" s="15" t="s">
        <v>47</v>
      </c>
      <c r="C43" s="19">
        <f t="shared" ref="C43:H43" si="52">SUM(C44:C45)</f>
        <v>238749.82391992712</v>
      </c>
      <c r="D43" s="19">
        <f t="shared" si="52"/>
        <v>329843.80235752475</v>
      </c>
      <c r="E43" s="20">
        <f t="shared" si="52"/>
        <v>273849.18996502797</v>
      </c>
      <c r="F43" s="20">
        <f t="shared" si="52"/>
        <v>286310.06813351001</v>
      </c>
      <c r="G43" s="20">
        <f t="shared" si="52"/>
        <v>1662.5119768636266</v>
      </c>
      <c r="H43" s="20">
        <f t="shared" si="52"/>
        <v>3765.58</v>
      </c>
      <c r="I43" s="20">
        <f t="shared" ref="I43" si="53">SUM(I44:I45)</f>
        <v>3683.213333333334</v>
      </c>
      <c r="J43" s="20">
        <f t="shared" ref="J43" si="54">SUM(J44:J45)</f>
        <v>7464.9722222222199</v>
      </c>
      <c r="K43" s="20">
        <f t="shared" ref="K43" si="55">SUM(K44:K45)</f>
        <v>56198.5566666667</v>
      </c>
      <c r="L43" s="20">
        <f t="shared" ref="L43" si="56">SUM(L44:L45)</f>
        <v>116653.31</v>
      </c>
      <c r="M43" s="20">
        <f t="shared" ref="M43" si="57">SUM(M44:M45)</f>
        <v>25109.311111111107</v>
      </c>
      <c r="N43" s="20">
        <f t="shared" ref="N43" si="58">SUM(N44:N45)</f>
        <v>13613.96</v>
      </c>
      <c r="O43" s="20">
        <f t="shared" ref="O43" si="59">SUM(O44:O45)</f>
        <v>1855.53</v>
      </c>
      <c r="P43" s="20">
        <f t="shared" ref="P43" si="60">SUM(P44:P45)</f>
        <v>14820.0864543311</v>
      </c>
      <c r="Q43" s="20">
        <f t="shared" ref="Q43:W43" si="61">SUM(Q44:Q45)</f>
        <v>11608.6281938342</v>
      </c>
      <c r="R43" s="20">
        <f t="shared" si="61"/>
        <v>5517.1660310897496</v>
      </c>
      <c r="S43" s="20">
        <f t="shared" si="61"/>
        <v>8372.2602553645993</v>
      </c>
      <c r="T43" s="20">
        <f t="shared" si="61"/>
        <v>7144.18</v>
      </c>
      <c r="U43" s="20">
        <f t="shared" si="61"/>
        <v>5111.2412500002356</v>
      </c>
      <c r="V43" s="20">
        <f t="shared" si="61"/>
        <v>8973.4118611348003</v>
      </c>
      <c r="W43" s="20">
        <f t="shared" si="61"/>
        <v>958693.06463890395</v>
      </c>
    </row>
    <row r="44" spans="2:23" ht="15.75" customHeight="1" x14ac:dyDescent="0.25">
      <c r="B44" s="16" t="s">
        <v>48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2:23" ht="15.75" customHeight="1" x14ac:dyDescent="0.25">
      <c r="B45" s="17" t="s">
        <v>49</v>
      </c>
      <c r="C45" s="8">
        <v>238749.82391992712</v>
      </c>
      <c r="D45" s="8">
        <v>329843.80235752475</v>
      </c>
      <c r="E45" s="8">
        <v>273849.18996502797</v>
      </c>
      <c r="F45" s="8">
        <v>286310.06813351001</v>
      </c>
      <c r="G45" s="8">
        <v>1662.5119768636266</v>
      </c>
      <c r="H45" s="8">
        <v>3765.58</v>
      </c>
      <c r="I45" s="8">
        <v>3683.213333333334</v>
      </c>
      <c r="J45" s="8">
        <v>7464.9722222222199</v>
      </c>
      <c r="K45" s="8">
        <v>56198.5566666667</v>
      </c>
      <c r="L45" s="8">
        <v>116653.31</v>
      </c>
      <c r="M45" s="8">
        <v>25109.311111111107</v>
      </c>
      <c r="N45" s="8">
        <v>13613.96</v>
      </c>
      <c r="O45" s="8">
        <v>1855.53</v>
      </c>
      <c r="P45" s="8">
        <v>14820.0864543311</v>
      </c>
      <c r="Q45" s="8">
        <v>11608.6281938342</v>
      </c>
      <c r="R45" s="8">
        <v>5517.1660310897496</v>
      </c>
      <c r="S45" s="8">
        <v>8372.2602553645993</v>
      </c>
      <c r="T45" s="8">
        <v>7144.18</v>
      </c>
      <c r="U45" s="8">
        <v>5111.2412500002356</v>
      </c>
      <c r="V45" s="8">
        <v>8973.4118611348003</v>
      </c>
      <c r="W45" s="8">
        <v>958693.06463890395</v>
      </c>
    </row>
    <row r="47" spans="2:23" ht="15.75" customHeight="1" x14ac:dyDescent="0.25">
      <c r="B47" s="15" t="s">
        <v>50</v>
      </c>
      <c r="C47" s="19">
        <f t="shared" ref="C47:E47" si="62">SUM(C48:C50)</f>
        <v>-221.29999999999995</v>
      </c>
      <c r="D47" s="19">
        <f t="shared" si="62"/>
        <v>-199606.60169274194</v>
      </c>
      <c r="E47" s="20">
        <f t="shared" si="62"/>
        <v>-77176.80285290847</v>
      </c>
      <c r="F47" s="20">
        <f t="shared" ref="F47:G47" si="63">SUM(F48:F50)</f>
        <v>-53325</v>
      </c>
      <c r="G47" s="20">
        <f t="shared" si="63"/>
        <v>-9713.18</v>
      </c>
      <c r="H47" s="20">
        <f t="shared" ref="H47:O47" si="64">SUM(H48:H50)</f>
        <v>-57295</v>
      </c>
      <c r="I47" s="20">
        <f t="shared" si="64"/>
        <v>-102389.94000000002</v>
      </c>
      <c r="J47" s="20">
        <f t="shared" si="64"/>
        <v>-60603.24</v>
      </c>
      <c r="K47" s="20">
        <f t="shared" si="64"/>
        <v>-53437.770000000004</v>
      </c>
      <c r="L47" s="20">
        <f t="shared" si="64"/>
        <v>-221145.57</v>
      </c>
      <c r="M47" s="20">
        <f t="shared" si="64"/>
        <v>-201170</v>
      </c>
      <c r="N47" s="20">
        <f t="shared" si="64"/>
        <v>-201596.06</v>
      </c>
      <c r="O47" s="20">
        <f t="shared" si="64"/>
        <v>-80420.099999999991</v>
      </c>
      <c r="P47" s="20">
        <f t="shared" ref="P47:Q47" si="65">SUM(P48:P50)</f>
        <v>-328521.50999999995</v>
      </c>
      <c r="Q47" s="20">
        <f t="shared" si="65"/>
        <v>-162502.5</v>
      </c>
      <c r="R47" s="20">
        <f t="shared" ref="R47:W47" si="66">SUM(R48:R50)</f>
        <v>-184250.89</v>
      </c>
      <c r="S47" s="20">
        <f t="shared" si="66"/>
        <v>-226383.96000000002</v>
      </c>
      <c r="T47" s="20">
        <f t="shared" si="66"/>
        <v>-264210.63699999999</v>
      </c>
      <c r="U47" s="20">
        <f t="shared" si="66"/>
        <v>-279017.94699999999</v>
      </c>
      <c r="V47" s="20">
        <f t="shared" si="66"/>
        <v>-387555.147</v>
      </c>
      <c r="W47" s="20">
        <f t="shared" si="66"/>
        <v>-214199.61552776187</v>
      </c>
    </row>
    <row r="48" spans="2:23" ht="15.75" customHeight="1" x14ac:dyDescent="0.25">
      <c r="B48" s="16" t="s">
        <v>51</v>
      </c>
      <c r="C48" s="13">
        <v>0</v>
      </c>
      <c r="D48" s="13">
        <v>-27232.298176612894</v>
      </c>
      <c r="E48" s="13">
        <v>-34261.839401295576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-147801.01</v>
      </c>
      <c r="M48" s="13">
        <v>-143258.54999999999</v>
      </c>
      <c r="N48" s="13">
        <v>-143258.54</v>
      </c>
      <c r="O48" s="13">
        <v>0</v>
      </c>
      <c r="P48" s="13">
        <v>-196414.19</v>
      </c>
      <c r="Q48" s="13">
        <v>-101012.86</v>
      </c>
      <c r="R48" s="13">
        <v>-108676.70000000001</v>
      </c>
      <c r="S48" s="13">
        <v>-83156.38</v>
      </c>
      <c r="T48" s="13">
        <v>-145903.43</v>
      </c>
      <c r="U48" s="13">
        <v>-169372.2</v>
      </c>
      <c r="V48" s="13">
        <v>-207013.31999999998</v>
      </c>
      <c r="W48" s="13">
        <v>-133065.54999999999</v>
      </c>
    </row>
    <row r="49" spans="2:23" ht="15.75" customHeight="1" x14ac:dyDescent="0.25">
      <c r="B49" s="17" t="s">
        <v>52</v>
      </c>
      <c r="C49" s="8">
        <v>0</v>
      </c>
      <c r="D49" s="8">
        <v>-21774.193548387098</v>
      </c>
      <c r="E49" s="8">
        <v>-24225.806451612902</v>
      </c>
      <c r="F49" s="8">
        <v>-25000</v>
      </c>
      <c r="G49" s="8">
        <v>0</v>
      </c>
      <c r="H49" s="8">
        <v>-50000</v>
      </c>
      <c r="I49" s="8">
        <v>-43403.43</v>
      </c>
      <c r="J49" s="8">
        <v>-43403.43</v>
      </c>
      <c r="K49" s="8">
        <v>-48054.03</v>
      </c>
      <c r="L49" s="8">
        <v>-56127.839999999997</v>
      </c>
      <c r="M49" s="8">
        <v>-52207.43</v>
      </c>
      <c r="N49" s="8">
        <v>-52207.43</v>
      </c>
      <c r="O49" s="8">
        <v>-55995.83</v>
      </c>
      <c r="P49" s="8">
        <v>-48692</v>
      </c>
      <c r="Q49" s="8">
        <v>-56168.07</v>
      </c>
      <c r="R49" s="8">
        <v>-47792.87</v>
      </c>
      <c r="S49" s="8">
        <v>-55668.24</v>
      </c>
      <c r="T49" s="8">
        <v>-29911.77</v>
      </c>
      <c r="U49" s="8">
        <v>-32242.11</v>
      </c>
      <c r="V49" s="8">
        <v>-39152.47</v>
      </c>
      <c r="W49" s="8">
        <v>-25345.818527761898</v>
      </c>
    </row>
    <row r="50" spans="2:23" ht="15.75" customHeight="1" x14ac:dyDescent="0.25">
      <c r="B50" s="17" t="s">
        <v>53</v>
      </c>
      <c r="C50" s="8">
        <v>-221.29999999999995</v>
      </c>
      <c r="D50" s="8">
        <v>-150600.10996774194</v>
      </c>
      <c r="E50" s="8">
        <v>-18689.156999999992</v>
      </c>
      <c r="F50" s="8">
        <v>-28325</v>
      </c>
      <c r="G50" s="8">
        <v>-9713.18</v>
      </c>
      <c r="H50" s="8">
        <v>-7295</v>
      </c>
      <c r="I50" s="8">
        <v>-58986.510000000017</v>
      </c>
      <c r="J50" s="8">
        <v>-17199.809999999998</v>
      </c>
      <c r="K50" s="8">
        <v>-5383.7400000000052</v>
      </c>
      <c r="L50" s="8">
        <v>-17216.720000000016</v>
      </c>
      <c r="M50" s="8">
        <v>-5704.0200000000041</v>
      </c>
      <c r="N50" s="8">
        <v>-6130.0900000000111</v>
      </c>
      <c r="O50" s="8">
        <v>-24424.26999999999</v>
      </c>
      <c r="P50" s="8">
        <v>-83415.319999999963</v>
      </c>
      <c r="Q50" s="8">
        <v>-5321.570000000007</v>
      </c>
      <c r="R50" s="8">
        <v>-27781.320000000022</v>
      </c>
      <c r="S50" s="8">
        <v>-87559.34000000004</v>
      </c>
      <c r="T50" s="8">
        <v>-88395.436999999991</v>
      </c>
      <c r="U50" s="8">
        <v>-77403.637000000002</v>
      </c>
      <c r="V50" s="8">
        <v>-141389.35700000002</v>
      </c>
      <c r="W50" s="8">
        <v>-55788.246999999988</v>
      </c>
    </row>
    <row r="51" spans="2:23" ht="15.75" customHeight="1" x14ac:dyDescent="0.25">
      <c r="B51" s="21"/>
    </row>
    <row r="53" spans="2:23" ht="15.75" customHeight="1" x14ac:dyDescent="0.25">
      <c r="B53" s="22" t="s">
        <v>54</v>
      </c>
      <c r="C53" s="19">
        <f t="shared" ref="C53:H53" si="67">SUM(C32,C34,C43,C48:C50)</f>
        <v>348727.15391992714</v>
      </c>
      <c r="D53" s="19">
        <f t="shared" si="67"/>
        <v>942171.36405187962</v>
      </c>
      <c r="E53" s="20">
        <f t="shared" si="67"/>
        <v>995110.63372502266</v>
      </c>
      <c r="F53" s="20">
        <f t="shared" si="67"/>
        <v>1179323.82813351</v>
      </c>
      <c r="G53" s="20">
        <f t="shared" si="67"/>
        <v>832622.43197686353</v>
      </c>
      <c r="H53" s="20">
        <f t="shared" si="67"/>
        <v>1290458.4700000002</v>
      </c>
      <c r="I53" s="20">
        <f t="shared" ref="I53:O53" si="68">SUM(I32,I34,I43,I48:I50)</f>
        <v>1312779.1233333333</v>
      </c>
      <c r="J53" s="20">
        <f t="shared" si="68"/>
        <v>1580649.3222222221</v>
      </c>
      <c r="K53" s="20">
        <f t="shared" si="68"/>
        <v>1620207.5866666664</v>
      </c>
      <c r="L53" s="20">
        <f t="shared" si="68"/>
        <v>1599418.7</v>
      </c>
      <c r="M53" s="20">
        <f t="shared" si="68"/>
        <v>1745172.6311111113</v>
      </c>
      <c r="N53" s="20">
        <f t="shared" si="68"/>
        <v>1642208.6199999999</v>
      </c>
      <c r="O53" s="20">
        <f t="shared" si="68"/>
        <v>1883662.17</v>
      </c>
      <c r="P53" s="20">
        <f t="shared" ref="P53:Q53" si="69">SUM(P32,P34,P43,P48:P50)</f>
        <v>1413554.5264543311</v>
      </c>
      <c r="Q53" s="20">
        <f t="shared" si="69"/>
        <v>1411082.0081938338</v>
      </c>
      <c r="R53" s="20">
        <f t="shared" ref="R53:W53" si="70">SUM(R32,R34,R43,R48:R50)</f>
        <v>1739366.5760310898</v>
      </c>
      <c r="S53" s="20">
        <f t="shared" si="70"/>
        <v>1726047.4402553649</v>
      </c>
      <c r="T53" s="20">
        <f t="shared" si="70"/>
        <v>1563867.2930000001</v>
      </c>
      <c r="U53" s="20">
        <f t="shared" si="70"/>
        <v>1524614.0742499998</v>
      </c>
      <c r="V53" s="20">
        <f t="shared" si="70"/>
        <v>1241257.0548611346</v>
      </c>
      <c r="W53" s="20">
        <f t="shared" si="70"/>
        <v>2500931.2491111425</v>
      </c>
    </row>
    <row r="54" spans="2:23" ht="15.75" customHeight="1" x14ac:dyDescent="0.25">
      <c r="B54" s="17" t="s">
        <v>55</v>
      </c>
      <c r="C54" s="8">
        <v>0</v>
      </c>
      <c r="D54" s="8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</row>
    <row r="56" spans="2:23" ht="15.75" customHeight="1" x14ac:dyDescent="0.25">
      <c r="B56" s="15" t="s">
        <v>56</v>
      </c>
      <c r="C56" s="19">
        <f t="shared" ref="C56:H56" si="71">SUM(C53:C54)</f>
        <v>348727.15391992714</v>
      </c>
      <c r="D56" s="19">
        <f t="shared" si="71"/>
        <v>942171.36405187962</v>
      </c>
      <c r="E56" s="20">
        <f t="shared" si="71"/>
        <v>995110.63372502266</v>
      </c>
      <c r="F56" s="20">
        <f t="shared" si="71"/>
        <v>1179323.82813351</v>
      </c>
      <c r="G56" s="20">
        <f t="shared" si="71"/>
        <v>832622.43197686353</v>
      </c>
      <c r="H56" s="20">
        <f t="shared" si="71"/>
        <v>1290458.4700000002</v>
      </c>
      <c r="I56" s="20">
        <f t="shared" ref="I56:O56" si="72">SUM(I53:I54)</f>
        <v>1312779.1233333333</v>
      </c>
      <c r="J56" s="20">
        <f t="shared" si="72"/>
        <v>1580649.3222222221</v>
      </c>
      <c r="K56" s="20">
        <f t="shared" si="72"/>
        <v>1620207.5866666664</v>
      </c>
      <c r="L56" s="20">
        <f t="shared" si="72"/>
        <v>1599418.7</v>
      </c>
      <c r="M56" s="20">
        <f t="shared" si="72"/>
        <v>1745172.6311111113</v>
      </c>
      <c r="N56" s="20">
        <f t="shared" si="72"/>
        <v>1642208.6199999999</v>
      </c>
      <c r="O56" s="20">
        <f t="shared" si="72"/>
        <v>1883662.17</v>
      </c>
      <c r="P56" s="20">
        <f t="shared" ref="P56:Q56" si="73">SUM(P53:P54)</f>
        <v>1413554.5264543311</v>
      </c>
      <c r="Q56" s="20">
        <f t="shared" si="73"/>
        <v>1411082.0081938338</v>
      </c>
      <c r="R56" s="20">
        <f t="shared" ref="R56:W56" si="74">SUM(R53:R54)</f>
        <v>1739366.5760310898</v>
      </c>
      <c r="S56" s="20">
        <f t="shared" si="74"/>
        <v>1726047.4402553649</v>
      </c>
      <c r="T56" s="20">
        <f t="shared" si="74"/>
        <v>1563867.2930000001</v>
      </c>
      <c r="U56" s="20">
        <f t="shared" si="74"/>
        <v>1524614.0742499998</v>
      </c>
      <c r="V56" s="20">
        <f t="shared" si="74"/>
        <v>1241257.0548611346</v>
      </c>
      <c r="W56" s="20">
        <f t="shared" si="74"/>
        <v>2500931.2491111425</v>
      </c>
    </row>
    <row r="57" spans="2:23" ht="15.75" customHeight="1" x14ac:dyDescent="0.25">
      <c r="B57" s="16" t="s">
        <v>57</v>
      </c>
      <c r="C57" s="23">
        <f t="shared" ref="C57:H57" si="75">C56/C58</f>
        <v>0.22454529667994202</v>
      </c>
      <c r="D57" s="23">
        <f t="shared" si="75"/>
        <v>0.5704884442920537</v>
      </c>
      <c r="E57" s="23">
        <f t="shared" si="75"/>
        <v>0.60254337904182798</v>
      </c>
      <c r="F57" s="23">
        <f t="shared" si="75"/>
        <v>0.71408518842585933</v>
      </c>
      <c r="G57" s="23">
        <f t="shared" si="75"/>
        <v>0.50415613764609357</v>
      </c>
      <c r="H57" s="23">
        <f t="shared" si="75"/>
        <v>0.78137764854978797</v>
      </c>
      <c r="I57" s="23">
        <f t="shared" ref="I57" si="76">I56/I58</f>
        <v>0.60216767450013886</v>
      </c>
      <c r="J57" s="23">
        <f t="shared" ref="J57" si="77">J56/J58</f>
        <v>0.72503889622039386</v>
      </c>
      <c r="K57" s="23">
        <f t="shared" ref="K57" si="78">K56/K58</f>
        <v>0.74318414829241675</v>
      </c>
      <c r="L57" s="23">
        <f t="shared" ref="L57" si="79">L56/L58</f>
        <v>0.73364835105355786</v>
      </c>
      <c r="M57" s="23">
        <f t="shared" ref="M57" si="80">M56/M58</f>
        <v>0.80050522300287341</v>
      </c>
      <c r="N57" s="23">
        <f t="shared" ref="N57" si="81">N56/N58</f>
        <v>0.75327595341291109</v>
      </c>
      <c r="O57" s="23">
        <f t="shared" ref="O57" si="82">O56/O58</f>
        <v>0.86402994097947372</v>
      </c>
      <c r="P57" s="23">
        <f t="shared" ref="P57" si="83">P56/P58</f>
        <v>0.64839303645600299</v>
      </c>
      <c r="Q57" s="23">
        <f t="shared" ref="Q57:W57" si="84">Q56/Q58</f>
        <v>0.64725890006959985</v>
      </c>
      <c r="R57" s="23">
        <f t="shared" si="84"/>
        <v>0.79784200371227498</v>
      </c>
      <c r="S57" s="23">
        <f t="shared" si="84"/>
        <v>0.79173255782464147</v>
      </c>
      <c r="T57" s="23">
        <f t="shared" si="84"/>
        <v>0.7173410319486957</v>
      </c>
      <c r="U57" s="23">
        <f t="shared" si="84"/>
        <v>0.69933570338183437</v>
      </c>
      <c r="V57" s="23">
        <f t="shared" si="84"/>
        <v>0.56936072557640294</v>
      </c>
      <c r="W57" s="23">
        <f t="shared" si="84"/>
        <v>0.37970172768445454</v>
      </c>
    </row>
    <row r="58" spans="2:23" ht="15.75" customHeight="1" x14ac:dyDescent="0.25">
      <c r="B58" s="17" t="s">
        <v>58</v>
      </c>
      <c r="C58" s="8">
        <v>1553037</v>
      </c>
      <c r="D58" s="8">
        <v>1651517</v>
      </c>
      <c r="E58" s="8">
        <v>1651517</v>
      </c>
      <c r="F58" s="8">
        <v>1651517</v>
      </c>
      <c r="G58" s="8">
        <v>1651517</v>
      </c>
      <c r="H58" s="8">
        <v>1651517</v>
      </c>
      <c r="I58" s="8">
        <v>2180089</v>
      </c>
      <c r="J58" s="8">
        <v>2180089</v>
      </c>
      <c r="K58" s="8">
        <v>2180089</v>
      </c>
      <c r="L58" s="8">
        <v>2180089</v>
      </c>
      <c r="M58" s="8">
        <v>2180089</v>
      </c>
      <c r="N58" s="8">
        <v>2180089</v>
      </c>
      <c r="O58" s="8">
        <v>2180089</v>
      </c>
      <c r="P58" s="8">
        <v>2180089</v>
      </c>
      <c r="Q58" s="8">
        <v>2180089</v>
      </c>
      <c r="R58" s="8">
        <v>2180089</v>
      </c>
      <c r="S58" s="8">
        <v>2180089</v>
      </c>
      <c r="T58" s="8">
        <v>2180089</v>
      </c>
      <c r="U58" s="8">
        <v>2180089</v>
      </c>
      <c r="V58" s="8">
        <v>2180089</v>
      </c>
      <c r="W58" s="8">
        <v>6586568</v>
      </c>
    </row>
    <row r="59" spans="2:23" ht="15.75" customHeight="1" x14ac:dyDescent="0.25">
      <c r="B59" s="17" t="s">
        <v>59</v>
      </c>
      <c r="C59" s="24">
        <v>0.22</v>
      </c>
      <c r="D59" s="24">
        <v>0.56999999999999995</v>
      </c>
      <c r="E59" s="24">
        <v>0.6</v>
      </c>
      <c r="F59" s="24">
        <v>0.61</v>
      </c>
      <c r="G59" s="24">
        <v>0.59</v>
      </c>
      <c r="H59" s="24">
        <v>0.77</v>
      </c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</row>
    <row r="60" spans="2:23" ht="15.75" customHeight="1" x14ac:dyDescent="0.25">
      <c r="B60" s="17" t="s">
        <v>60</v>
      </c>
      <c r="C60" s="8">
        <f t="shared" ref="C60:H60" si="85">C59*C58</f>
        <v>341668.14</v>
      </c>
      <c r="D60" s="8">
        <f t="shared" si="85"/>
        <v>941364.69</v>
      </c>
      <c r="E60" s="8">
        <f t="shared" si="85"/>
        <v>990910.2</v>
      </c>
      <c r="F60" s="8">
        <f t="shared" si="85"/>
        <v>1007425.37</v>
      </c>
      <c r="G60" s="8">
        <f t="shared" si="85"/>
        <v>974395.02999999991</v>
      </c>
      <c r="H60" s="8">
        <f t="shared" si="85"/>
        <v>1271668.0900000001</v>
      </c>
      <c r="I60" s="8">
        <f t="shared" ref="I60" si="86">I59*I58</f>
        <v>0</v>
      </c>
      <c r="J60" s="8">
        <f t="shared" ref="J60" si="87">J59*J58</f>
        <v>0</v>
      </c>
      <c r="K60" s="8">
        <f t="shared" ref="K60" si="88">K59*K58</f>
        <v>0</v>
      </c>
      <c r="L60" s="8">
        <f t="shared" ref="L60" si="89">L59*L58</f>
        <v>0</v>
      </c>
      <c r="M60" s="8">
        <f t="shared" ref="M60" si="90">M59*M58</f>
        <v>0</v>
      </c>
      <c r="N60" s="8">
        <f t="shared" ref="N60" si="91">N59*N58</f>
        <v>0</v>
      </c>
      <c r="O60" s="8">
        <f t="shared" ref="O60" si="92">O59*O58</f>
        <v>0</v>
      </c>
      <c r="P60" s="8">
        <f t="shared" ref="P60" si="93">P59*P58</f>
        <v>0</v>
      </c>
      <c r="Q60" s="8">
        <f t="shared" ref="Q60:T60" si="94">Q59*Q58</f>
        <v>0</v>
      </c>
      <c r="R60" s="8">
        <f t="shared" si="94"/>
        <v>0</v>
      </c>
      <c r="S60" s="8">
        <f t="shared" si="94"/>
        <v>0</v>
      </c>
      <c r="T60" s="8">
        <f t="shared" si="94"/>
        <v>0</v>
      </c>
      <c r="U60" s="8"/>
      <c r="V60" s="8"/>
      <c r="W60" s="8"/>
    </row>
    <row r="62" spans="2:23" ht="15.75" customHeight="1" x14ac:dyDescent="0.25">
      <c r="B62" s="15" t="s">
        <v>61</v>
      </c>
      <c r="C62" s="19">
        <f t="shared" ref="C62:H62" si="95">C56-C16-C38-C10-C39+C63</f>
        <v>348727.15391992714</v>
      </c>
      <c r="D62" s="19">
        <f t="shared" si="95"/>
        <v>942171.36405187962</v>
      </c>
      <c r="E62" s="20">
        <f t="shared" si="95"/>
        <v>995110.63372502266</v>
      </c>
      <c r="F62" s="20">
        <f t="shared" si="95"/>
        <v>1179323.82813351</v>
      </c>
      <c r="G62" s="20">
        <f t="shared" si="95"/>
        <v>832622.43197686353</v>
      </c>
      <c r="H62" s="20">
        <f t="shared" si="95"/>
        <v>1290458.4700000002</v>
      </c>
      <c r="I62" s="20">
        <f t="shared" ref="I62" si="96">I56-I16-I38-I10-I39+I63</f>
        <v>1312779.1233333333</v>
      </c>
      <c r="J62" s="20">
        <f t="shared" ref="J62" si="97">J56-J16-J38-J10-J39+J63</f>
        <v>1580649.3222222221</v>
      </c>
      <c r="K62" s="20">
        <f t="shared" ref="K62" si="98">K56-K16-K38-K10-K39+K63</f>
        <v>1620207.5866666664</v>
      </c>
      <c r="L62" s="20">
        <f t="shared" ref="L62" si="99">L56-L16-L38-L10-L39+L63</f>
        <v>1599418.7</v>
      </c>
      <c r="M62" s="20">
        <f t="shared" ref="M62" si="100">M56-M16-M38-M10-M39+M63</f>
        <v>1745172.6311111113</v>
      </c>
      <c r="N62" s="20">
        <f t="shared" ref="N62" si="101">N56-N16-N38-N10-N39+N63</f>
        <v>1642208.6199999999</v>
      </c>
      <c r="O62" s="20">
        <f t="shared" ref="O62" si="102">O56-O16-O38-O10-O39+O63</f>
        <v>1883662.17</v>
      </c>
      <c r="P62" s="20">
        <f t="shared" ref="P62" si="103">P56-P16-P38-P10-P39+P63</f>
        <v>1413554.5264543311</v>
      </c>
      <c r="Q62" s="20">
        <f t="shared" ref="Q62:W62" si="104">Q56-Q16-Q38-Q10-Q39+Q63</f>
        <v>1411082.0081938338</v>
      </c>
      <c r="R62" s="20">
        <f t="shared" si="104"/>
        <v>1739366.5760310898</v>
      </c>
      <c r="S62" s="20">
        <f t="shared" si="104"/>
        <v>1726047.4402553649</v>
      </c>
      <c r="T62" s="20">
        <f t="shared" si="104"/>
        <v>1563867.2930000001</v>
      </c>
      <c r="U62" s="20">
        <f t="shared" si="104"/>
        <v>1524614.0742499998</v>
      </c>
      <c r="V62" s="20">
        <f t="shared" si="104"/>
        <v>1241257.0548611346</v>
      </c>
      <c r="W62" s="20">
        <f t="shared" si="104"/>
        <v>2500931.2491111425</v>
      </c>
    </row>
    <row r="63" spans="2:23" ht="15.75" customHeight="1" x14ac:dyDescent="0.25">
      <c r="B63" s="16" t="s">
        <v>62</v>
      </c>
      <c r="C63" s="23">
        <f t="shared" ref="C63:H63" si="105">-SUM(C7,C11)</f>
        <v>0</v>
      </c>
      <c r="D63" s="23">
        <f t="shared" si="105"/>
        <v>0</v>
      </c>
      <c r="E63" s="23">
        <f t="shared" si="105"/>
        <v>0</v>
      </c>
      <c r="F63" s="23">
        <f t="shared" si="105"/>
        <v>0</v>
      </c>
      <c r="G63" s="23">
        <f t="shared" si="105"/>
        <v>0</v>
      </c>
      <c r="H63" s="23">
        <f t="shared" si="105"/>
        <v>0</v>
      </c>
      <c r="I63" s="23">
        <f t="shared" ref="I63:O63" si="106">-SUM(I7,I11)</f>
        <v>0</v>
      </c>
      <c r="J63" s="23">
        <f t="shared" si="106"/>
        <v>0</v>
      </c>
      <c r="K63" s="23">
        <f t="shared" si="106"/>
        <v>0</v>
      </c>
      <c r="L63" s="23">
        <f t="shared" si="106"/>
        <v>0</v>
      </c>
      <c r="M63" s="23">
        <f t="shared" si="106"/>
        <v>0</v>
      </c>
      <c r="N63" s="23">
        <f t="shared" si="106"/>
        <v>0</v>
      </c>
      <c r="O63" s="23">
        <f t="shared" si="106"/>
        <v>0</v>
      </c>
      <c r="P63" s="23">
        <f t="shared" ref="P63:Q63" si="107">-SUM(P7,P11)</f>
        <v>0</v>
      </c>
      <c r="Q63" s="23">
        <f t="shared" si="107"/>
        <v>0</v>
      </c>
      <c r="R63" s="23">
        <f t="shared" ref="R63:W63" si="108">-SUM(R7,R11)</f>
        <v>0</v>
      </c>
      <c r="S63" s="23">
        <f t="shared" si="108"/>
        <v>0</v>
      </c>
      <c r="T63" s="23">
        <f t="shared" si="108"/>
        <v>0</v>
      </c>
      <c r="U63" s="23">
        <f t="shared" si="108"/>
        <v>0</v>
      </c>
      <c r="V63" s="23">
        <f t="shared" si="108"/>
        <v>0</v>
      </c>
      <c r="W63" s="23">
        <f t="shared" si="108"/>
        <v>0</v>
      </c>
    </row>
    <row r="64" spans="2:23" ht="15.75" customHeight="1" x14ac:dyDescent="0.25">
      <c r="B64" s="17" t="s">
        <v>63</v>
      </c>
      <c r="C64" s="25">
        <f t="shared" ref="C64:H64" si="109">C62/SUM(C6,C7)</f>
        <v>3.164532571048543</v>
      </c>
      <c r="D64" s="25">
        <f t="shared" si="109"/>
        <v>1.1353372730226539</v>
      </c>
      <c r="E64" s="25">
        <f t="shared" si="109"/>
        <v>1.2154813534132423</v>
      </c>
      <c r="F64" s="25">
        <f t="shared" si="109"/>
        <v>1.2198877679728182</v>
      </c>
      <c r="G64" s="25">
        <f t="shared" si="109"/>
        <v>0.99042354510553932</v>
      </c>
      <c r="H64" s="25">
        <f t="shared" si="109"/>
        <v>0.92300673731487215</v>
      </c>
      <c r="I64" s="25">
        <f t="shared" ref="I64:O64" si="110">I62/SUM(I6,I7)</f>
        <v>0.90837703450808416</v>
      </c>
      <c r="J64" s="25">
        <f t="shared" si="110"/>
        <v>0.94791925665240606</v>
      </c>
      <c r="K64" s="25">
        <f t="shared" si="110"/>
        <v>0.97969743881590277</v>
      </c>
      <c r="L64" s="25">
        <f t="shared" si="110"/>
        <v>0.91907526571259135</v>
      </c>
      <c r="M64" s="25">
        <f t="shared" si="110"/>
        <v>0.89149940864755783</v>
      </c>
      <c r="N64" s="25">
        <f t="shared" si="110"/>
        <v>0.87982018802776307</v>
      </c>
      <c r="O64" s="25">
        <f t="shared" si="110"/>
        <v>0.9425080083892452</v>
      </c>
      <c r="P64" s="25">
        <f t="shared" ref="P64:Q64" si="111">P62/SUM(P6,P7)</f>
        <v>0.80096423787261894</v>
      </c>
      <c r="Q64" s="25">
        <f t="shared" si="111"/>
        <v>0.88218210998759528</v>
      </c>
      <c r="R64" s="25">
        <f t="shared" ref="R64:W64" si="112">R62/SUM(R6,R7)</f>
        <v>0.88896462401769338</v>
      </c>
      <c r="S64" s="25">
        <f t="shared" si="112"/>
        <v>0.87102881463541959</v>
      </c>
      <c r="T64" s="25">
        <f t="shared" si="112"/>
        <v>0.84147026358435639</v>
      </c>
      <c r="U64" s="25">
        <f t="shared" si="112"/>
        <v>0.83036325222081997</v>
      </c>
      <c r="V64" s="25">
        <f t="shared" si="112"/>
        <v>0.74891872881579469</v>
      </c>
      <c r="W64" s="25">
        <f t="shared" si="112"/>
        <v>1.3940547405279777</v>
      </c>
    </row>
    <row r="65" spans="1:23" ht="15.75" customHeight="1" x14ac:dyDescent="0.25">
      <c r="B65" s="17" t="s">
        <v>64</v>
      </c>
      <c r="C65" s="24">
        <f>C62/C58</f>
        <v>0.22454529667994202</v>
      </c>
      <c r="D65" s="24">
        <f t="shared" ref="D65:E65" si="113">D62/D58</f>
        <v>0.5704884442920537</v>
      </c>
      <c r="E65" s="24">
        <f t="shared" si="113"/>
        <v>0.60254337904182798</v>
      </c>
      <c r="F65" s="24">
        <f t="shared" ref="F65:G65" si="114">F62/F58</f>
        <v>0.71408518842585933</v>
      </c>
      <c r="G65" s="24">
        <f t="shared" si="114"/>
        <v>0.50415613764609357</v>
      </c>
      <c r="H65" s="24">
        <f t="shared" ref="H65:O65" si="115">H62/H58</f>
        <v>0.78137764854978797</v>
      </c>
      <c r="I65" s="24">
        <f t="shared" si="115"/>
        <v>0.60216767450013886</v>
      </c>
      <c r="J65" s="24">
        <f t="shared" si="115"/>
        <v>0.72503889622039386</v>
      </c>
      <c r="K65" s="24">
        <f t="shared" si="115"/>
        <v>0.74318414829241675</v>
      </c>
      <c r="L65" s="24">
        <f t="shared" si="115"/>
        <v>0.73364835105355786</v>
      </c>
      <c r="M65" s="24">
        <f t="shared" si="115"/>
        <v>0.80050522300287341</v>
      </c>
      <c r="N65" s="24">
        <f t="shared" si="115"/>
        <v>0.75327595341291109</v>
      </c>
      <c r="O65" s="24">
        <f t="shared" si="115"/>
        <v>0.86402994097947372</v>
      </c>
      <c r="P65" s="24">
        <f t="shared" ref="P65:Q65" si="116">P62/P58</f>
        <v>0.64839303645600299</v>
      </c>
      <c r="Q65" s="24">
        <f t="shared" si="116"/>
        <v>0.64725890006959985</v>
      </c>
      <c r="R65" s="24">
        <f t="shared" ref="R65:V65" si="117">R62/R58</f>
        <v>0.79784200371227498</v>
      </c>
      <c r="S65" s="24">
        <f t="shared" si="117"/>
        <v>0.79173255782464147</v>
      </c>
      <c r="T65" s="24">
        <f t="shared" si="117"/>
        <v>0.7173410319486957</v>
      </c>
      <c r="U65" s="24">
        <f t="shared" si="117"/>
        <v>0.69933570338183437</v>
      </c>
      <c r="V65" s="24">
        <f t="shared" si="117"/>
        <v>0.56936072557640294</v>
      </c>
      <c r="W65" s="24">
        <f>W62/W58</f>
        <v>0.37970172768445454</v>
      </c>
    </row>
    <row r="67" spans="1:23" ht="15.75" customHeight="1" x14ac:dyDescent="0.25">
      <c r="B67" s="15" t="s">
        <v>65</v>
      </c>
      <c r="C67" s="19">
        <f t="shared" ref="C67:E67" si="118">C62+C68</f>
        <v>348727.15391992714</v>
      </c>
      <c r="D67" s="19">
        <f t="shared" si="118"/>
        <v>942171.36405187962</v>
      </c>
      <c r="E67" s="20">
        <f t="shared" si="118"/>
        <v>995110.63372502266</v>
      </c>
      <c r="F67" s="20">
        <f t="shared" ref="F67:G67" si="119">F62+F68</f>
        <v>1179323.82813351</v>
      </c>
      <c r="G67" s="20">
        <f t="shared" si="119"/>
        <v>832622.43197686353</v>
      </c>
      <c r="H67" s="20">
        <f t="shared" ref="H67:O67" si="120">H62+H68</f>
        <v>1290458.4700000002</v>
      </c>
      <c r="I67" s="20">
        <f t="shared" si="120"/>
        <v>1312779.1233333333</v>
      </c>
      <c r="J67" s="20">
        <f t="shared" si="120"/>
        <v>1580649.3222222221</v>
      </c>
      <c r="K67" s="20">
        <f t="shared" si="120"/>
        <v>1620207.5866666664</v>
      </c>
      <c r="L67" s="20">
        <f t="shared" si="120"/>
        <v>1599418.7</v>
      </c>
      <c r="M67" s="20">
        <f t="shared" si="120"/>
        <v>1745172.6311111113</v>
      </c>
      <c r="N67" s="20">
        <f t="shared" si="120"/>
        <v>1642208.6199999999</v>
      </c>
      <c r="O67" s="20">
        <f t="shared" si="120"/>
        <v>1883662.17</v>
      </c>
      <c r="P67" s="20">
        <f t="shared" ref="P67:Q67" si="121">P62+P68</f>
        <v>1413554.5264543311</v>
      </c>
      <c r="Q67" s="20">
        <f t="shared" si="121"/>
        <v>1411082.0081938338</v>
      </c>
      <c r="R67" s="20">
        <f t="shared" ref="R67:V67" si="122">R62+R68</f>
        <v>1739366.5760310898</v>
      </c>
      <c r="S67" s="20">
        <f t="shared" si="122"/>
        <v>1726047.4402553649</v>
      </c>
      <c r="T67" s="20">
        <f t="shared" si="122"/>
        <v>1563867.2930000001</v>
      </c>
      <c r="U67" s="20">
        <f t="shared" si="122"/>
        <v>1524614.0742499998</v>
      </c>
      <c r="V67" s="20">
        <f t="shared" si="122"/>
        <v>1241257.0548611346</v>
      </c>
      <c r="W67" s="20">
        <f t="shared" ref="W67" si="123">W62+W68</f>
        <v>2500931.2491111425</v>
      </c>
    </row>
    <row r="68" spans="1:23" ht="15.75" customHeight="1" x14ac:dyDescent="0.25">
      <c r="B68" s="16" t="s">
        <v>66</v>
      </c>
      <c r="C68" s="23">
        <f t="shared" ref="C68:H68" si="124">-C21-C23</f>
        <v>0</v>
      </c>
      <c r="D68" s="23">
        <f t="shared" si="124"/>
        <v>0</v>
      </c>
      <c r="E68" s="23">
        <f t="shared" si="124"/>
        <v>0</v>
      </c>
      <c r="F68" s="23">
        <f t="shared" si="124"/>
        <v>0</v>
      </c>
      <c r="G68" s="23">
        <f t="shared" si="124"/>
        <v>0</v>
      </c>
      <c r="H68" s="23">
        <f t="shared" si="124"/>
        <v>0</v>
      </c>
      <c r="I68" s="23">
        <f t="shared" ref="I68:O68" si="125">-I21-I23</f>
        <v>0</v>
      </c>
      <c r="J68" s="23">
        <f t="shared" si="125"/>
        <v>0</v>
      </c>
      <c r="K68" s="23">
        <f t="shared" si="125"/>
        <v>0</v>
      </c>
      <c r="L68" s="23">
        <f t="shared" si="125"/>
        <v>0</v>
      </c>
      <c r="M68" s="23">
        <f t="shared" si="125"/>
        <v>0</v>
      </c>
      <c r="N68" s="23">
        <f t="shared" si="125"/>
        <v>0</v>
      </c>
      <c r="O68" s="23">
        <f t="shared" si="125"/>
        <v>0</v>
      </c>
      <c r="P68" s="23">
        <f t="shared" ref="P68:Q68" si="126">-P21-P23</f>
        <v>0</v>
      </c>
      <c r="Q68" s="23">
        <f t="shared" si="126"/>
        <v>0</v>
      </c>
      <c r="R68" s="23">
        <f t="shared" ref="R68:V68" si="127">-R21-R23</f>
        <v>0</v>
      </c>
      <c r="S68" s="23">
        <f t="shared" si="127"/>
        <v>0</v>
      </c>
      <c r="T68" s="23">
        <f t="shared" si="127"/>
        <v>0</v>
      </c>
      <c r="U68" s="23">
        <f t="shared" si="127"/>
        <v>0</v>
      </c>
      <c r="V68" s="23">
        <f t="shared" si="127"/>
        <v>0</v>
      </c>
      <c r="W68" s="23">
        <f t="shared" ref="W68" si="128">-W21-W23</f>
        <v>0</v>
      </c>
    </row>
    <row r="69" spans="1:23" ht="15.75" customHeight="1" x14ac:dyDescent="0.25">
      <c r="B69" s="17" t="s">
        <v>67</v>
      </c>
      <c r="C69" s="26">
        <f t="shared" ref="C69:E69" si="129">C67/C58</f>
        <v>0.22454529667994202</v>
      </c>
      <c r="D69" s="26">
        <f t="shared" si="129"/>
        <v>0.5704884442920537</v>
      </c>
      <c r="E69" s="26">
        <f t="shared" si="129"/>
        <v>0.60254337904182798</v>
      </c>
      <c r="F69" s="26">
        <f t="shared" ref="F69:G69" si="130">F67/F58</f>
        <v>0.71408518842585933</v>
      </c>
      <c r="G69" s="26">
        <f t="shared" si="130"/>
        <v>0.50415613764609357</v>
      </c>
      <c r="H69" s="26">
        <f t="shared" ref="H69:O69" si="131">H67/H58</f>
        <v>0.78137764854978797</v>
      </c>
      <c r="I69" s="26">
        <f t="shared" si="131"/>
        <v>0.60216767450013886</v>
      </c>
      <c r="J69" s="26">
        <f t="shared" si="131"/>
        <v>0.72503889622039386</v>
      </c>
      <c r="K69" s="26">
        <f t="shared" si="131"/>
        <v>0.74318414829241675</v>
      </c>
      <c r="L69" s="26">
        <f t="shared" si="131"/>
        <v>0.73364835105355786</v>
      </c>
      <c r="M69" s="26">
        <f t="shared" si="131"/>
        <v>0.80050522300287341</v>
      </c>
      <c r="N69" s="26">
        <f t="shared" si="131"/>
        <v>0.75327595341291109</v>
      </c>
      <c r="O69" s="26">
        <f t="shared" si="131"/>
        <v>0.86402994097947372</v>
      </c>
      <c r="P69" s="26">
        <f t="shared" ref="P69:Q69" si="132">P67/P58</f>
        <v>0.64839303645600299</v>
      </c>
      <c r="Q69" s="26">
        <f t="shared" si="132"/>
        <v>0.64725890006959985</v>
      </c>
      <c r="R69" s="26">
        <f t="shared" ref="R69:V69" si="133">R67/R58</f>
        <v>0.79784200371227498</v>
      </c>
      <c r="S69" s="26">
        <f t="shared" si="133"/>
        <v>0.79173255782464147</v>
      </c>
      <c r="T69" s="26">
        <f t="shared" si="133"/>
        <v>0.7173410319486957</v>
      </c>
      <c r="U69" s="26">
        <f t="shared" si="133"/>
        <v>0.69933570338183437</v>
      </c>
      <c r="V69" s="26">
        <f t="shared" si="133"/>
        <v>0.56936072557640294</v>
      </c>
      <c r="W69" s="26">
        <f t="shared" ref="W69" si="134">W67/W58</f>
        <v>0.37970172768445454</v>
      </c>
    </row>
    <row r="71" spans="1:23" ht="15.75" customHeight="1" x14ac:dyDescent="0.25">
      <c r="B71" s="15" t="s">
        <v>68</v>
      </c>
      <c r="C71" s="19" t="str">
        <f>+IFERROR(C72/C73,"n/a")</f>
        <v>n/a</v>
      </c>
      <c r="D71" s="19" t="str">
        <f t="shared" ref="D71:E71" si="135">+IFERROR(D72/D73,"n/a")</f>
        <v>n/a</v>
      </c>
      <c r="E71" s="19" t="str">
        <f t="shared" si="135"/>
        <v>n/a</v>
      </c>
      <c r="F71" s="19">
        <f t="shared" ref="F71:G71" si="136">+IFERROR(F72/F73,"n/a")</f>
        <v>153.48308825954501</v>
      </c>
      <c r="G71" s="19">
        <f t="shared" si="136"/>
        <v>200.33476230512491</v>
      </c>
      <c r="H71" s="19">
        <f t="shared" ref="H71:O71" si="137">+IFERROR(H72/H73,"n/a")</f>
        <v>143.97647566294788</v>
      </c>
      <c r="I71" s="19">
        <f t="shared" si="137"/>
        <v>0</v>
      </c>
      <c r="J71" s="19">
        <f t="shared" si="137"/>
        <v>0</v>
      </c>
      <c r="K71" s="19">
        <f t="shared" si="137"/>
        <v>0</v>
      </c>
      <c r="L71" s="19">
        <f t="shared" si="137"/>
        <v>0</v>
      </c>
      <c r="M71" s="19">
        <f t="shared" si="137"/>
        <v>0</v>
      </c>
      <c r="N71" s="19">
        <f t="shared" si="137"/>
        <v>0</v>
      </c>
      <c r="O71" s="19">
        <f t="shared" si="137"/>
        <v>0</v>
      </c>
      <c r="P71" s="19">
        <f t="shared" ref="P71:Q71" si="138">+IFERROR(P72/P73,"n/a")</f>
        <v>0</v>
      </c>
      <c r="Q71" s="19">
        <f t="shared" si="138"/>
        <v>0</v>
      </c>
      <c r="R71" s="19">
        <f t="shared" ref="R71:T71" si="139">+IFERROR(R72/R73,"n/a")</f>
        <v>0</v>
      </c>
      <c r="S71" s="19">
        <f t="shared" si="139"/>
        <v>0</v>
      </c>
      <c r="T71" s="19">
        <f t="shared" si="139"/>
        <v>0</v>
      </c>
      <c r="U71" s="19">
        <f t="shared" ref="U71:W71" si="140">+IFERROR(U72/U73,"n/a")</f>
        <v>0</v>
      </c>
      <c r="V71" s="19">
        <f t="shared" si="140"/>
        <v>0</v>
      </c>
      <c r="W71" s="19">
        <f t="shared" si="140"/>
        <v>0</v>
      </c>
    </row>
    <row r="72" spans="1:23" ht="15.75" customHeight="1" x14ac:dyDescent="0.25">
      <c r="B72" s="16" t="s">
        <v>69</v>
      </c>
      <c r="C72" s="28" t="s">
        <v>131</v>
      </c>
      <c r="D72" s="28" t="s">
        <v>131</v>
      </c>
      <c r="E72" s="28" t="s">
        <v>131</v>
      </c>
      <c r="F72" s="28">
        <f>109.6*'Indicadores Financeiros'!F58</f>
        <v>181006263.19999999</v>
      </c>
      <c r="G72" s="28">
        <f>101*'Indicadores Financeiros'!G58</f>
        <v>166803217</v>
      </c>
      <c r="H72" s="28">
        <f>112.5*'Indicadores Financeiros'!H58</f>
        <v>185795662.5</v>
      </c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</row>
    <row r="73" spans="1:23" ht="15.75" customHeight="1" x14ac:dyDescent="0.25">
      <c r="B73" s="17" t="s">
        <v>70</v>
      </c>
      <c r="C73" s="29">
        <f t="shared" ref="C73:H73" si="141">C56</f>
        <v>348727.15391992714</v>
      </c>
      <c r="D73" s="29">
        <f t="shared" si="141"/>
        <v>942171.36405187962</v>
      </c>
      <c r="E73" s="29">
        <f t="shared" si="141"/>
        <v>995110.63372502266</v>
      </c>
      <c r="F73" s="29">
        <f t="shared" si="141"/>
        <v>1179323.82813351</v>
      </c>
      <c r="G73" s="29">
        <f t="shared" si="141"/>
        <v>832622.43197686353</v>
      </c>
      <c r="H73" s="29">
        <f t="shared" si="141"/>
        <v>1290458.4700000002</v>
      </c>
      <c r="I73" s="29">
        <f t="shared" ref="I73:O73" si="142">I56</f>
        <v>1312779.1233333333</v>
      </c>
      <c r="J73" s="29">
        <f t="shared" si="142"/>
        <v>1580649.3222222221</v>
      </c>
      <c r="K73" s="29">
        <f t="shared" si="142"/>
        <v>1620207.5866666664</v>
      </c>
      <c r="L73" s="29">
        <f t="shared" si="142"/>
        <v>1599418.7</v>
      </c>
      <c r="M73" s="29">
        <f t="shared" si="142"/>
        <v>1745172.6311111113</v>
      </c>
      <c r="N73" s="29">
        <f t="shared" si="142"/>
        <v>1642208.6199999999</v>
      </c>
      <c r="O73" s="29">
        <f t="shared" si="142"/>
        <v>1883662.17</v>
      </c>
      <c r="P73" s="29">
        <f t="shared" ref="P73:Q73" si="143">P56</f>
        <v>1413554.5264543311</v>
      </c>
      <c r="Q73" s="29">
        <f t="shared" si="143"/>
        <v>1411082.0081938338</v>
      </c>
      <c r="R73" s="29">
        <f t="shared" ref="R73:T73" si="144">R56</f>
        <v>1739366.5760310898</v>
      </c>
      <c r="S73" s="29">
        <f t="shared" si="144"/>
        <v>1726047.4402553649</v>
      </c>
      <c r="T73" s="29">
        <f t="shared" si="144"/>
        <v>1563867.2930000001</v>
      </c>
      <c r="U73" s="29">
        <f t="shared" ref="U73:W73" si="145">U56</f>
        <v>1524614.0742499998</v>
      </c>
      <c r="V73" s="29">
        <f t="shared" si="145"/>
        <v>1241257.0548611346</v>
      </c>
      <c r="W73" s="29">
        <f t="shared" si="145"/>
        <v>2500931.2491111425</v>
      </c>
    </row>
    <row r="74" spans="1:23" ht="15.75" customHeight="1" x14ac:dyDescent="0.25">
      <c r="B74" s="17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</row>
    <row r="75" spans="1:23" ht="15.75" customHeight="1" x14ac:dyDescent="0.25">
      <c r="B75" s="15" t="s">
        <v>71</v>
      </c>
      <c r="C75" s="31" t="str">
        <f>IFERROR(C76/C77,"n/a")</f>
        <v>n/a</v>
      </c>
      <c r="D75" s="31" t="str">
        <f t="shared" ref="D75:E75" si="146">IFERROR(D76/D77,"n/a")</f>
        <v>n/a</v>
      </c>
      <c r="E75" s="31" t="str">
        <f t="shared" si="146"/>
        <v>n/a</v>
      </c>
      <c r="F75" s="31">
        <f t="shared" ref="F75:G75" si="147">IFERROR(F76/F77,"n/a")</f>
        <v>7.8184509681663433E-2</v>
      </c>
      <c r="G75" s="31">
        <f t="shared" si="147"/>
        <v>5.9899739126268538E-2</v>
      </c>
      <c r="H75" s="31">
        <f t="shared" ref="H75:O75" si="148">IFERROR(H76/H77,"n/a")</f>
        <v>8.3346949178644048E-2</v>
      </c>
      <c r="I75" s="31" t="str">
        <f t="shared" si="148"/>
        <v>n/a</v>
      </c>
      <c r="J75" s="31" t="str">
        <f t="shared" si="148"/>
        <v>n/a</v>
      </c>
      <c r="K75" s="31" t="str">
        <f t="shared" si="148"/>
        <v>n/a</v>
      </c>
      <c r="L75" s="31" t="str">
        <f t="shared" si="148"/>
        <v>n/a</v>
      </c>
      <c r="M75" s="31" t="str">
        <f t="shared" si="148"/>
        <v>n/a</v>
      </c>
      <c r="N75" s="31" t="str">
        <f t="shared" si="148"/>
        <v>n/a</v>
      </c>
      <c r="O75" s="31" t="str">
        <f t="shared" si="148"/>
        <v>n/a</v>
      </c>
      <c r="P75" s="31" t="str">
        <f t="shared" ref="P75:Q75" si="149">IFERROR(P76/P77,"n/a")</f>
        <v>n/a</v>
      </c>
      <c r="Q75" s="31" t="str">
        <f t="shared" si="149"/>
        <v>n/a</v>
      </c>
      <c r="R75" s="31" t="str">
        <f t="shared" ref="R75:T75" si="150">IFERROR(R76/R77,"n/a")</f>
        <v>n/a</v>
      </c>
      <c r="S75" s="31" t="str">
        <f t="shared" si="150"/>
        <v>n/a</v>
      </c>
      <c r="T75" s="31" t="str">
        <f t="shared" si="150"/>
        <v>n/a</v>
      </c>
      <c r="U75" s="31" t="str">
        <f t="shared" ref="U75:W75" si="151">IFERROR(U76/U77,"n/a")</f>
        <v>n/a</v>
      </c>
      <c r="V75" s="31" t="str">
        <f t="shared" si="151"/>
        <v>n/a</v>
      </c>
      <c r="W75" s="31" t="str">
        <f t="shared" si="151"/>
        <v>n/a</v>
      </c>
    </row>
    <row r="76" spans="1:23" ht="15.75" customHeight="1" x14ac:dyDescent="0.25">
      <c r="B76" s="16" t="s">
        <v>67</v>
      </c>
      <c r="C76" s="27">
        <f t="shared" ref="C76:E76" si="152">C69*12</f>
        <v>2.6945435601593042</v>
      </c>
      <c r="D76" s="27">
        <f t="shared" si="152"/>
        <v>6.8458613315046444</v>
      </c>
      <c r="E76" s="27">
        <f t="shared" si="152"/>
        <v>7.2305205485019357</v>
      </c>
      <c r="F76" s="27">
        <f t="shared" ref="F76:G76" si="153">F69*12</f>
        <v>8.5690222611103124</v>
      </c>
      <c r="G76" s="27">
        <f t="shared" si="153"/>
        <v>6.0498736517531224</v>
      </c>
      <c r="H76" s="27">
        <f t="shared" ref="H76:O76" si="154">H69*12</f>
        <v>9.3765317825974552</v>
      </c>
      <c r="I76" s="27">
        <f t="shared" si="154"/>
        <v>7.2260120940016659</v>
      </c>
      <c r="J76" s="27">
        <f t="shared" si="154"/>
        <v>8.7004667546447259</v>
      </c>
      <c r="K76" s="27">
        <f t="shared" si="154"/>
        <v>8.9182097795090005</v>
      </c>
      <c r="L76" s="27">
        <f t="shared" si="154"/>
        <v>8.8037802126426943</v>
      </c>
      <c r="M76" s="27">
        <f t="shared" si="154"/>
        <v>9.6060626760344814</v>
      </c>
      <c r="N76" s="27">
        <f t="shared" si="154"/>
        <v>9.0393114409549327</v>
      </c>
      <c r="O76" s="27">
        <f t="shared" si="154"/>
        <v>10.368359291753684</v>
      </c>
      <c r="P76" s="27">
        <f t="shared" ref="P76:Q76" si="155">P69*12</f>
        <v>7.7807164374720355</v>
      </c>
      <c r="Q76" s="27">
        <f t="shared" si="155"/>
        <v>7.7671068008351982</v>
      </c>
      <c r="R76" s="27">
        <f t="shared" ref="R76:T76" si="156">R69*12</f>
        <v>9.5741040445472994</v>
      </c>
      <c r="S76" s="27">
        <f t="shared" si="156"/>
        <v>9.5007906938956985</v>
      </c>
      <c r="T76" s="27">
        <f t="shared" si="156"/>
        <v>8.6080923833843492</v>
      </c>
      <c r="U76" s="27">
        <f t="shared" ref="U76:W76" si="157">U69*12</f>
        <v>8.3920284405820134</v>
      </c>
      <c r="V76" s="27">
        <f t="shared" si="157"/>
        <v>6.8323287069168348</v>
      </c>
      <c r="W76" s="27">
        <f t="shared" si="157"/>
        <v>4.5564207322134544</v>
      </c>
    </row>
    <row r="77" spans="1:23" ht="15.75" customHeight="1" x14ac:dyDescent="0.25">
      <c r="B77" s="17" t="s">
        <v>72</v>
      </c>
      <c r="C77" s="26" t="str">
        <f>IFERROR(C72/C58,"n/a")</f>
        <v>n/a</v>
      </c>
      <c r="D77" s="26" t="str">
        <f t="shared" ref="D77:E77" si="158">IFERROR(D72/D58,"n/a")</f>
        <v>n/a</v>
      </c>
      <c r="E77" s="26" t="str">
        <f t="shared" si="158"/>
        <v>n/a</v>
      </c>
      <c r="F77" s="26">
        <f t="shared" ref="F77:G77" si="159">IFERROR(F72/F58,"n/a")</f>
        <v>109.6</v>
      </c>
      <c r="G77" s="26">
        <f t="shared" si="159"/>
        <v>101</v>
      </c>
      <c r="H77" s="26">
        <f t="shared" ref="H77:O77" si="160">IFERROR(H72/H58,"n/a")</f>
        <v>112.5</v>
      </c>
      <c r="I77" s="26">
        <f t="shared" si="160"/>
        <v>0</v>
      </c>
      <c r="J77" s="26">
        <f t="shared" si="160"/>
        <v>0</v>
      </c>
      <c r="K77" s="26">
        <f t="shared" si="160"/>
        <v>0</v>
      </c>
      <c r="L77" s="26">
        <f t="shared" si="160"/>
        <v>0</v>
      </c>
      <c r="M77" s="26">
        <f t="shared" si="160"/>
        <v>0</v>
      </c>
      <c r="N77" s="26">
        <f t="shared" si="160"/>
        <v>0</v>
      </c>
      <c r="O77" s="26">
        <f t="shared" si="160"/>
        <v>0</v>
      </c>
      <c r="P77" s="26">
        <f t="shared" ref="P77:Q77" si="161">IFERROR(P72/P58,"n/a")</f>
        <v>0</v>
      </c>
      <c r="Q77" s="26">
        <f t="shared" si="161"/>
        <v>0</v>
      </c>
      <c r="R77" s="26">
        <f t="shared" ref="R77:T77" si="162">IFERROR(R72/R58,"n/a")</f>
        <v>0</v>
      </c>
      <c r="S77" s="26">
        <f t="shared" si="162"/>
        <v>0</v>
      </c>
      <c r="T77" s="26">
        <f t="shared" si="162"/>
        <v>0</v>
      </c>
      <c r="U77" s="26">
        <f t="shared" ref="U77:W77" si="163">IFERROR(U72/U58,"n/a")</f>
        <v>0</v>
      </c>
      <c r="V77" s="26">
        <f t="shared" si="163"/>
        <v>0</v>
      </c>
      <c r="W77" s="26">
        <f t="shared" si="163"/>
        <v>0</v>
      </c>
    </row>
    <row r="79" spans="1:23" ht="15.75" customHeight="1" x14ac:dyDescent="0.25">
      <c r="B79" s="15" t="s">
        <v>73</v>
      </c>
      <c r="C79" s="31"/>
      <c r="D79" s="31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</row>
    <row r="80" spans="1:23" s="7" customFormat="1" ht="15.75" customHeight="1" x14ac:dyDescent="0.25">
      <c r="A80" s="6"/>
      <c r="B80" s="43" t="s">
        <v>74</v>
      </c>
      <c r="C80" s="44">
        <f>SUM(C81:C82)</f>
        <v>67769308.650000006</v>
      </c>
      <c r="D80" s="44">
        <f t="shared" ref="D80:E80" si="164">SUM(D81:D82)</f>
        <v>77980082.159999996</v>
      </c>
      <c r="E80" s="44">
        <f t="shared" si="164"/>
        <v>78040805.689999998</v>
      </c>
      <c r="F80" s="44">
        <f>SUM(F81:F82)</f>
        <v>994762.47</v>
      </c>
      <c r="G80" s="44">
        <f t="shared" ref="G80:H80" si="165">SUM(G81:G82)</f>
        <v>1444363.8800000001</v>
      </c>
      <c r="H80" s="44">
        <f t="shared" si="165"/>
        <v>1755586.13</v>
      </c>
      <c r="I80" s="44">
        <f t="shared" ref="I80:O80" si="166">SUM(I81:I82)</f>
        <v>36545738.119999997</v>
      </c>
      <c r="J80" s="44">
        <f t="shared" si="166"/>
        <v>36566988.630000003</v>
      </c>
      <c r="K80" s="44">
        <f t="shared" si="166"/>
        <v>28872925.800000001</v>
      </c>
      <c r="L80" s="44">
        <f t="shared" si="166"/>
        <v>20078327.309999999</v>
      </c>
      <c r="M80" s="44">
        <f t="shared" si="166"/>
        <v>15182935.300000001</v>
      </c>
      <c r="N80" s="44">
        <f t="shared" si="166"/>
        <v>13206961.959999999</v>
      </c>
      <c r="O80" s="44">
        <f t="shared" si="166"/>
        <v>10454148.26</v>
      </c>
      <c r="P80" s="44">
        <f t="shared" ref="P80:Q80" si="167">SUM(P81:P82)</f>
        <v>7712033.2000000002</v>
      </c>
      <c r="Q80" s="44">
        <f t="shared" si="167"/>
        <v>5366997.4399999995</v>
      </c>
      <c r="R80" s="44">
        <f t="shared" ref="R80:W80" si="168">SUM(R81:R82)</f>
        <v>5404690.9400000004</v>
      </c>
      <c r="S80" s="44">
        <f t="shared" si="168"/>
        <v>8784546.2200000007</v>
      </c>
      <c r="T80" s="44">
        <f t="shared" si="168"/>
        <v>8634955.0700000003</v>
      </c>
      <c r="U80" s="44">
        <f t="shared" si="168"/>
        <v>6970998.1800000211</v>
      </c>
      <c r="V80" s="44">
        <f t="shared" si="168"/>
        <v>488845330.31999993</v>
      </c>
      <c r="W80" s="44">
        <f t="shared" si="168"/>
        <v>97968507.649999946</v>
      </c>
    </row>
    <row r="81" spans="1:26" ht="15.75" customHeight="1" x14ac:dyDescent="0.25">
      <c r="B81" s="17" t="s">
        <v>75</v>
      </c>
      <c r="C81" s="8">
        <v>67069085.280000001</v>
      </c>
      <c r="D81" s="8">
        <v>77297857.159999996</v>
      </c>
      <c r="E81" s="8">
        <v>77359871.689999998</v>
      </c>
      <c r="F81" s="8">
        <v>461325.47</v>
      </c>
      <c r="G81" s="8">
        <v>286853.85000000003</v>
      </c>
      <c r="H81" s="8">
        <v>601193.17999999993</v>
      </c>
      <c r="I81" s="8">
        <v>35425716.689999998</v>
      </c>
      <c r="J81" s="8">
        <v>35474405.130000003</v>
      </c>
      <c r="K81" s="8">
        <v>27570890.960000001</v>
      </c>
      <c r="L81" s="8">
        <v>18569987.18</v>
      </c>
      <c r="M81" s="8">
        <v>13729769.58</v>
      </c>
      <c r="N81" s="8">
        <v>11620838.189999999</v>
      </c>
      <c r="O81" s="8">
        <v>8994717.7599999998</v>
      </c>
      <c r="P81" s="8">
        <v>5787780.0899999999</v>
      </c>
      <c r="Q81" s="8">
        <v>3342229.8</v>
      </c>
      <c r="R81" s="8">
        <f>333373.84+3112587.41</f>
        <v>3445961.25</v>
      </c>
      <c r="S81" s="8">
        <f>100+6383567.98</f>
        <v>6383667.9800000004</v>
      </c>
      <c r="T81" s="8">
        <f>5129929.12+100</f>
        <v>5130029.12</v>
      </c>
      <c r="U81" s="8">
        <v>4686988.8899999997</v>
      </c>
      <c r="V81" s="8">
        <f>20578.02+485292550.04</f>
        <v>485313128.06</v>
      </c>
      <c r="W81" s="8">
        <v>79875475.090000004</v>
      </c>
      <c r="Y81" s="7"/>
      <c r="Z81" s="7"/>
    </row>
    <row r="82" spans="1:26" ht="15.75" customHeight="1" x14ac:dyDescent="0.25">
      <c r="B82" s="17" t="s">
        <v>76</v>
      </c>
      <c r="C82" s="8">
        <v>700223.37</v>
      </c>
      <c r="D82" s="8">
        <v>682225</v>
      </c>
      <c r="E82" s="8">
        <v>680934</v>
      </c>
      <c r="F82" s="8">
        <v>533437</v>
      </c>
      <c r="G82" s="8">
        <v>1157510.03</v>
      </c>
      <c r="H82" s="8">
        <v>1154392.95</v>
      </c>
      <c r="I82" s="8">
        <v>1120021.43</v>
      </c>
      <c r="J82" s="8">
        <v>1092583.5</v>
      </c>
      <c r="K82" s="8">
        <v>1302034.8400000001</v>
      </c>
      <c r="L82" s="8">
        <v>1508340.13</v>
      </c>
      <c r="M82" s="8">
        <v>1453165.72</v>
      </c>
      <c r="N82" s="8">
        <v>1586123.77</v>
      </c>
      <c r="O82" s="8">
        <v>1459430.5</v>
      </c>
      <c r="P82" s="8">
        <v>1924253.11</v>
      </c>
      <c r="Q82" s="8">
        <v>2024767.64</v>
      </c>
      <c r="R82" s="8">
        <f>1882537.59+60061.81+16130.29</f>
        <v>1958729.6900000002</v>
      </c>
      <c r="S82" s="8">
        <f>2190.56+332545.04+1994608.98+60061.81+11471.85</f>
        <v>2400878.2400000002</v>
      </c>
      <c r="T82" s="8">
        <f>813940.55+332545.04+2291245.41+60061.81+7133.14</f>
        <v>3504925.95</v>
      </c>
      <c r="U82" s="8">
        <f>(((250846679.88))-4686988.89)-243875681.7</f>
        <v>2284009.2900000215</v>
      </c>
      <c r="V82" s="8">
        <v>3532202.2599999607</v>
      </c>
      <c r="W82" s="8">
        <v>18093032.559999943</v>
      </c>
      <c r="Y82" s="7"/>
      <c r="Z82" s="7"/>
    </row>
    <row r="83" spans="1:26" s="7" customFormat="1" ht="15.75" customHeight="1" x14ac:dyDescent="0.25">
      <c r="A83" s="6"/>
      <c r="B83" s="48" t="s">
        <v>77</v>
      </c>
      <c r="C83" s="42">
        <f>SUM(C84:C85)</f>
        <v>113232857</v>
      </c>
      <c r="D83" s="42">
        <f t="shared" ref="D83:W83" si="169">SUM(D84:D85)</f>
        <v>113232857</v>
      </c>
      <c r="E83" s="42">
        <f t="shared" si="169"/>
        <v>113232857</v>
      </c>
      <c r="F83" s="42">
        <f t="shared" si="169"/>
        <v>189800678.38999999</v>
      </c>
      <c r="G83" s="42">
        <f t="shared" si="169"/>
        <v>189800615.88999999</v>
      </c>
      <c r="H83" s="42">
        <f t="shared" si="169"/>
        <v>189800615.88999999</v>
      </c>
      <c r="I83" s="42">
        <f t="shared" si="169"/>
        <v>210515739.41</v>
      </c>
      <c r="J83" s="42">
        <f t="shared" si="169"/>
        <v>210529759.55000001</v>
      </c>
      <c r="K83" s="42">
        <f t="shared" si="169"/>
        <v>242999759.55000001</v>
      </c>
      <c r="L83" s="42">
        <f t="shared" si="169"/>
        <v>242999759.55000001</v>
      </c>
      <c r="M83" s="42">
        <f t="shared" si="169"/>
        <v>243021271.08000001</v>
      </c>
      <c r="N83" s="42">
        <f t="shared" si="169"/>
        <v>243021271.08000001</v>
      </c>
      <c r="O83" s="42">
        <f t="shared" si="169"/>
        <v>243021271.08000001</v>
      </c>
      <c r="P83" s="42">
        <f t="shared" si="169"/>
        <v>243021271.08000001</v>
      </c>
      <c r="Q83" s="42">
        <f t="shared" si="169"/>
        <v>242615544.69999999</v>
      </c>
      <c r="R83" s="42">
        <f t="shared" si="169"/>
        <v>242693704.47</v>
      </c>
      <c r="S83" s="42">
        <f t="shared" si="169"/>
        <v>242741094.19</v>
      </c>
      <c r="T83" s="42">
        <f t="shared" si="169"/>
        <v>242994463.93000001</v>
      </c>
      <c r="U83" s="42">
        <f>SUM(U84:U85)</f>
        <v>243875681.69999999</v>
      </c>
      <c r="V83" s="42">
        <f t="shared" si="169"/>
        <v>243049218.59</v>
      </c>
      <c r="W83" s="42">
        <f t="shared" si="169"/>
        <v>623096365.36000001</v>
      </c>
    </row>
    <row r="84" spans="1:26" ht="15.75" customHeight="1" x14ac:dyDescent="0.25">
      <c r="B84" s="17" t="s">
        <v>78</v>
      </c>
      <c r="C84" s="8">
        <v>113232857</v>
      </c>
      <c r="D84" s="8">
        <v>113232857</v>
      </c>
      <c r="E84" s="8">
        <v>113232857</v>
      </c>
      <c r="F84" s="8">
        <v>189800678.38999999</v>
      </c>
      <c r="G84" s="8">
        <v>189800615.88999999</v>
      </c>
      <c r="H84" s="8">
        <v>189800615.88999999</v>
      </c>
      <c r="I84" s="8">
        <v>210515739.41</v>
      </c>
      <c r="J84" s="8">
        <v>210529759.55000001</v>
      </c>
      <c r="K84" s="8">
        <v>242999759.55000001</v>
      </c>
      <c r="L84" s="8">
        <v>242999759.55000001</v>
      </c>
      <c r="M84" s="8">
        <v>243021271.08000001</v>
      </c>
      <c r="N84" s="8">
        <v>243021271.08000001</v>
      </c>
      <c r="O84" s="8">
        <v>243021271.08000001</v>
      </c>
      <c r="P84" s="8">
        <v>243021271.08000001</v>
      </c>
      <c r="Q84" s="8">
        <v>242615544.69999999</v>
      </c>
      <c r="R84" s="8">
        <v>242693704.47</v>
      </c>
      <c r="S84" s="8">
        <v>242741094.19</v>
      </c>
      <c r="T84" s="8">
        <v>242994463.93000001</v>
      </c>
      <c r="U84" s="8">
        <v>243875681.69999999</v>
      </c>
      <c r="V84" s="8">
        <v>243049218.59</v>
      </c>
      <c r="W84" s="8">
        <v>623096365.36000001</v>
      </c>
    </row>
    <row r="85" spans="1:26" ht="15.75" customHeight="1" x14ac:dyDescent="0.25">
      <c r="B85" s="17" t="s">
        <v>79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</row>
    <row r="86" spans="1:26" s="7" customFormat="1" ht="15.75" customHeight="1" x14ac:dyDescent="0.25">
      <c r="A86" s="6"/>
      <c r="B86" s="48" t="s">
        <v>80</v>
      </c>
      <c r="C86" s="42">
        <v>180336175.94</v>
      </c>
      <c r="D86" s="42">
        <v>190466390.78</v>
      </c>
      <c r="E86" s="42">
        <v>190438172.41</v>
      </c>
      <c r="F86" s="42">
        <v>190462388.78999999</v>
      </c>
      <c r="G86" s="42">
        <v>190860513.38</v>
      </c>
      <c r="H86" s="42">
        <v>191114488.69</v>
      </c>
      <c r="I86" s="42">
        <v>245920547.63999999</v>
      </c>
      <c r="J86" s="42">
        <v>245834000</v>
      </c>
      <c r="K86" s="42">
        <v>246004540.09</v>
      </c>
      <c r="L86" s="42">
        <v>246433840.31999999</v>
      </c>
      <c r="M86" s="42">
        <v>246586517.62</v>
      </c>
      <c r="N86" s="42">
        <v>247746608.00999999</v>
      </c>
      <c r="O86" s="42">
        <v>247788478.62</v>
      </c>
      <c r="P86" s="42">
        <v>247916394.80000001</v>
      </c>
      <c r="Q86" s="42">
        <v>247264489.38</v>
      </c>
      <c r="R86" s="42">
        <f>247410570.25</f>
        <v>247410570.25</v>
      </c>
      <c r="S86" s="42">
        <v>247585688.50999999</v>
      </c>
      <c r="T86" s="42">
        <f>247852805.71</f>
        <v>247852805.71000001</v>
      </c>
      <c r="U86" s="42">
        <v>247566607.97</v>
      </c>
      <c r="V86" s="42">
        <f>247878643.78</f>
        <v>247878643.78</v>
      </c>
      <c r="W86" s="42">
        <v>717274539.28999996</v>
      </c>
    </row>
    <row r="87" spans="1:26" s="7" customFormat="1" ht="15.75" customHeight="1" x14ac:dyDescent="0.25">
      <c r="A87" s="6"/>
      <c r="B87" s="48" t="s">
        <v>81</v>
      </c>
      <c r="C87" s="42">
        <v>665989.71</v>
      </c>
      <c r="D87" s="42">
        <v>746548.38</v>
      </c>
      <c r="E87" s="42">
        <v>835490.28</v>
      </c>
      <c r="F87" s="42">
        <v>333052.07</v>
      </c>
      <c r="G87" s="42">
        <v>384466.39</v>
      </c>
      <c r="H87" s="42">
        <v>441713.33</v>
      </c>
      <c r="I87" s="49">
        <v>1140929.8899999999</v>
      </c>
      <c r="J87" s="42">
        <v>1262748.18</v>
      </c>
      <c r="K87" s="42">
        <v>25868145.260000002</v>
      </c>
      <c r="L87" s="42">
        <v>16644246.539999999</v>
      </c>
      <c r="M87" s="42">
        <v>11617688.76</v>
      </c>
      <c r="N87" s="42">
        <v>8481625.0299999993</v>
      </c>
      <c r="O87" s="42">
        <v>5686940.7199999997</v>
      </c>
      <c r="P87" s="42">
        <v>2816909.48</v>
      </c>
      <c r="Q87" s="42">
        <v>718052.76</v>
      </c>
      <c r="R87" s="42">
        <f>(248098395.41)-247410570.25</f>
        <v>687825.15999999642</v>
      </c>
      <c r="S87" s="42">
        <f>(251525640.41)-247585688.51</f>
        <v>3939951.900000006</v>
      </c>
      <c r="T87" s="42">
        <f>(251629419)-247852805.71</f>
        <v>3776613.2899999917</v>
      </c>
      <c r="U87" s="42">
        <v>3280071.9099999964</v>
      </c>
      <c r="V87" s="42">
        <v>484015905.13</v>
      </c>
      <c r="W87" s="42">
        <f>W80+W83-W86</f>
        <v>3790333.7200000286</v>
      </c>
    </row>
    <row r="88" spans="1:26" s="7" customFormat="1" ht="15.75" customHeight="1" x14ac:dyDescent="0.25">
      <c r="A88" s="6"/>
      <c r="B88" s="48" t="s">
        <v>82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</row>
    <row r="89" spans="1:26" ht="15.75" customHeight="1" x14ac:dyDescent="0.25">
      <c r="C89" s="41" t="b">
        <f>(C80+C83-C87-C88)=C86</f>
        <v>1</v>
      </c>
      <c r="D89" s="41" t="b">
        <f t="shared" ref="D89:W89" si="170">(D80+D83-D87-D88)=D86</f>
        <v>1</v>
      </c>
      <c r="E89" s="41" t="b">
        <f t="shared" si="170"/>
        <v>1</v>
      </c>
      <c r="F89" s="41" t="b">
        <f t="shared" si="170"/>
        <v>1</v>
      </c>
      <c r="G89" s="41" t="b">
        <f t="shared" si="170"/>
        <v>1</v>
      </c>
      <c r="H89" s="41" t="b">
        <f t="shared" si="170"/>
        <v>1</v>
      </c>
      <c r="I89" s="41" t="b">
        <f t="shared" si="170"/>
        <v>1</v>
      </c>
      <c r="J89" s="41" t="b">
        <f t="shared" si="170"/>
        <v>1</v>
      </c>
      <c r="K89" s="41" t="b">
        <f t="shared" si="170"/>
        <v>1</v>
      </c>
      <c r="L89" s="41" t="b">
        <f t="shared" si="170"/>
        <v>1</v>
      </c>
      <c r="M89" s="41" t="b">
        <f t="shared" si="170"/>
        <v>1</v>
      </c>
      <c r="N89" s="41" t="b">
        <f t="shared" si="170"/>
        <v>1</v>
      </c>
      <c r="O89" s="41" t="b">
        <f t="shared" si="170"/>
        <v>1</v>
      </c>
      <c r="P89" s="41" t="b">
        <f t="shared" si="170"/>
        <v>1</v>
      </c>
      <c r="Q89" s="41" t="b">
        <f t="shared" si="170"/>
        <v>1</v>
      </c>
      <c r="R89" s="41" t="b">
        <f t="shared" si="170"/>
        <v>1</v>
      </c>
      <c r="S89" s="41" t="b">
        <f t="shared" si="170"/>
        <v>1</v>
      </c>
      <c r="T89" s="41" t="b">
        <f t="shared" si="170"/>
        <v>1</v>
      </c>
      <c r="U89" s="41" t="b">
        <f t="shared" si="170"/>
        <v>1</v>
      </c>
      <c r="V89" s="41" t="b">
        <f t="shared" si="170"/>
        <v>1</v>
      </c>
      <c r="W89" s="41" t="b">
        <f t="shared" si="170"/>
        <v>1</v>
      </c>
    </row>
    <row r="90" spans="1:26" ht="15.75" customHeight="1" x14ac:dyDescent="0.25">
      <c r="B90" s="15" t="s">
        <v>83</v>
      </c>
      <c r="C90" s="31"/>
      <c r="D90" s="31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</row>
    <row r="91" spans="1:26" ht="15.75" customHeight="1" x14ac:dyDescent="0.25">
      <c r="B91" s="16" t="s">
        <v>84</v>
      </c>
      <c r="C91" s="32">
        <f t="shared" ref="C91:H91" si="171">IFERROR(C53/C32,0)</f>
        <v>3.164532571048543</v>
      </c>
      <c r="D91" s="32">
        <f t="shared" si="171"/>
        <v>1.160403646671893</v>
      </c>
      <c r="E91" s="32">
        <f t="shared" si="171"/>
        <v>1.2463213503942652</v>
      </c>
      <c r="F91" s="32">
        <f t="shared" si="171"/>
        <v>1.2461962649965961</v>
      </c>
      <c r="G91" s="32">
        <f t="shared" si="171"/>
        <v>0.99042354510553932</v>
      </c>
      <c r="H91" s="32">
        <f t="shared" si="171"/>
        <v>0.96017120362594943</v>
      </c>
      <c r="I91" s="32">
        <f t="shared" ref="I91:O91" si="172">IFERROR(I53/I32,0)</f>
        <v>0.93006892228734239</v>
      </c>
      <c r="J91" s="32">
        <f t="shared" si="172"/>
        <v>0.96747541228552381</v>
      </c>
      <c r="K91" s="32">
        <f t="shared" si="172"/>
        <v>1.0017068794266784</v>
      </c>
      <c r="L91" s="32">
        <f t="shared" si="172"/>
        <v>0.93867504672896762</v>
      </c>
      <c r="M91" s="32">
        <f t="shared" si="172"/>
        <v>0.90836058949420639</v>
      </c>
      <c r="N91" s="32">
        <f t="shared" si="172"/>
        <v>0.89728824545673569</v>
      </c>
      <c r="O91" s="32">
        <f t="shared" si="172"/>
        <v>0.95996152310104588</v>
      </c>
      <c r="P91" s="32">
        <f t="shared" ref="P91:Q91" si="173">IFERROR(P53/P32,0)</f>
        <v>0.81838162228031763</v>
      </c>
      <c r="Q91" s="32">
        <f t="shared" si="173"/>
        <v>0.90339551734552637</v>
      </c>
      <c r="R91" s="32">
        <f t="shared" ref="R91:T91" si="174">IFERROR(R53/R32,0)</f>
        <v>0.90681732130018944</v>
      </c>
      <c r="S91" s="32">
        <f t="shared" si="174"/>
        <v>0.88785747549602057</v>
      </c>
      <c r="T91" s="32">
        <f t="shared" si="174"/>
        <v>0.85882712262321459</v>
      </c>
      <c r="U91" s="32">
        <f t="shared" ref="U91:V91" si="175">IFERROR(U53/U32,0)</f>
        <v>0.84770445312842035</v>
      </c>
      <c r="V91" s="32">
        <f t="shared" si="175"/>
        <v>0.76628431330572999</v>
      </c>
      <c r="W91" s="32">
        <f>IFERROR(W53/W32,0)</f>
        <v>1.4238655357514751</v>
      </c>
    </row>
    <row r="92" spans="1:26" ht="15.75" customHeight="1" x14ac:dyDescent="0.25">
      <c r="B92" s="17" t="s">
        <v>85</v>
      </c>
      <c r="C92" s="25">
        <f t="shared" ref="C92:H92" si="176">C53/C86</f>
        <v>1.9337614990569214E-3</v>
      </c>
      <c r="D92" s="25">
        <f t="shared" si="176"/>
        <v>4.9466541587389213E-3</v>
      </c>
      <c r="E92" s="25">
        <f t="shared" si="176"/>
        <v>5.2253737847400648E-3</v>
      </c>
      <c r="F92" s="25">
        <f t="shared" si="176"/>
        <v>6.1918987555795533E-3</v>
      </c>
      <c r="G92" s="25">
        <f t="shared" si="176"/>
        <v>4.3624656416968062E-3</v>
      </c>
      <c r="H92" s="25">
        <f t="shared" si="176"/>
        <v>6.752279635340505E-3</v>
      </c>
      <c r="I92" s="25">
        <f t="shared" ref="I92:O92" si="177">I53/I86</f>
        <v>5.3382246255204921E-3</v>
      </c>
      <c r="J92" s="25">
        <f t="shared" si="177"/>
        <v>6.4297425182123797E-3</v>
      </c>
      <c r="K92" s="25">
        <f t="shared" si="177"/>
        <v>6.58608815135655E-3</v>
      </c>
      <c r="L92" s="25">
        <f t="shared" si="177"/>
        <v>6.4902559564186399E-3</v>
      </c>
      <c r="M92" s="25">
        <f t="shared" si="177"/>
        <v>7.0773238048663081E-3</v>
      </c>
      <c r="N92" s="25">
        <f t="shared" si="177"/>
        <v>6.6285816511914225E-3</v>
      </c>
      <c r="O92" s="25">
        <f t="shared" si="177"/>
        <v>7.6018956994716455E-3</v>
      </c>
      <c r="P92" s="25">
        <f t="shared" ref="P92:Q92" si="178">P53/P86</f>
        <v>5.7017387962368478E-3</v>
      </c>
      <c r="Q92" s="25">
        <f t="shared" si="178"/>
        <v>5.7067717719274302E-3</v>
      </c>
      <c r="R92" s="25">
        <f t="shared" ref="R92:T92" si="179">R53/R86</f>
        <v>7.0302840103942154E-3</v>
      </c>
      <c r="S92" s="25">
        <f t="shared" si="179"/>
        <v>6.9715153999527308E-3</v>
      </c>
      <c r="T92" s="25">
        <f t="shared" si="179"/>
        <v>6.3096614481330578E-3</v>
      </c>
      <c r="U92" s="25">
        <f t="shared" ref="U92:W92" si="180">U53/U86</f>
        <v>6.1583994980241915E-3</v>
      </c>
      <c r="V92" s="25">
        <f t="shared" si="180"/>
        <v>5.0075191470015821E-3</v>
      </c>
      <c r="W92" s="25">
        <f t="shared" si="180"/>
        <v>3.4867140991602873E-3</v>
      </c>
    </row>
    <row r="94" spans="1:26" ht="15.75" customHeight="1" x14ac:dyDescent="0.25">
      <c r="B94" s="15" t="s">
        <v>86</v>
      </c>
      <c r="C94" s="31"/>
      <c r="D94" s="31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</row>
    <row r="95" spans="1:26" ht="15.75" customHeight="1" x14ac:dyDescent="0.25">
      <c r="B95" s="16" t="s">
        <v>87</v>
      </c>
      <c r="C95" s="32">
        <f t="shared" ref="C95:D95" si="181">SUM(C87:C88)/SUM(C80,C83)</f>
        <v>3.6794571358212914E-3</v>
      </c>
      <c r="D95" s="32">
        <f t="shared" si="181"/>
        <v>3.9042775205464291E-3</v>
      </c>
      <c r="E95" s="32">
        <f>SUM(E87:E88)/SUM(E80,E83)</f>
        <v>4.3680361856932243E-3</v>
      </c>
      <c r="F95" s="32">
        <f>SUM(F87:F88)/SUM(F80,F83)</f>
        <v>1.7455976332494429E-3</v>
      </c>
      <c r="G95" s="32">
        <f>SUM(G87:G88)/SUM(G80,G83)</f>
        <v>2.0103345481924649E-3</v>
      </c>
      <c r="H95" s="32">
        <f>SUM(H87:H88)/SUM(H80,H83)</f>
        <v>2.3059202747916334E-3</v>
      </c>
      <c r="I95" s="32">
        <f t="shared" ref="I95:O95" si="182">SUM(I87:I88)/SUM(I80,I83)</f>
        <v>4.6179999464362465E-3</v>
      </c>
      <c r="J95" s="32">
        <f t="shared" si="182"/>
        <v>5.1103391254673208E-3</v>
      </c>
      <c r="K95" s="32">
        <f t="shared" si="182"/>
        <v>9.5148011013677952E-2</v>
      </c>
      <c r="L95" s="32">
        <f t="shared" si="182"/>
        <v>6.3267323929025773E-2</v>
      </c>
      <c r="M95" s="32">
        <f t="shared" si="182"/>
        <v>4.4994188603194971E-2</v>
      </c>
      <c r="N95" s="32">
        <f t="shared" si="182"/>
        <v>3.3101836317451894E-2</v>
      </c>
      <c r="O95" s="32">
        <f t="shared" si="182"/>
        <v>2.2435866699846763E-2</v>
      </c>
      <c r="P95" s="32">
        <f t="shared" ref="P95:Q95" si="183">SUM(P87:P88)/SUM(P80,P83)</f>
        <v>1.1234684152107247E-2</v>
      </c>
      <c r="Q95" s="32">
        <f t="shared" si="183"/>
        <v>2.8955778652943204E-3</v>
      </c>
      <c r="R95" s="32">
        <f t="shared" ref="R95:T95" si="184">SUM(R87:R88)/SUM(R80,R83)</f>
        <v>2.7723885874526401E-3</v>
      </c>
      <c r="S95" s="32">
        <f t="shared" si="184"/>
        <v>1.5664215757795814E-2</v>
      </c>
      <c r="T95" s="32">
        <f t="shared" si="184"/>
        <v>1.5008631760978599E-2</v>
      </c>
      <c r="U95" s="32">
        <f t="shared" ref="U95:W95" si="185">SUM(U87:U88)/SUM(U80,U83)</f>
        <v>1.3076002885783127E-2</v>
      </c>
      <c r="V95" s="32">
        <f t="shared" si="185"/>
        <v>0.66131918300366899</v>
      </c>
      <c r="W95" s="32">
        <f t="shared" si="185"/>
        <v>5.2565779611170481E-3</v>
      </c>
    </row>
    <row r="96" spans="1:26" ht="15.75" customHeight="1" x14ac:dyDescent="0.25">
      <c r="B96" s="17" t="s">
        <v>88</v>
      </c>
      <c r="C96" s="25">
        <f t="shared" ref="C96:E96" si="186">C84/C86</f>
        <v>0.62789873640036553</v>
      </c>
      <c r="D96" s="25">
        <f t="shared" si="186"/>
        <v>0.59450308548551578</v>
      </c>
      <c r="E96" s="25">
        <f t="shared" si="186"/>
        <v>0.59459117658521543</v>
      </c>
      <c r="F96" s="25">
        <f t="shared" ref="F96:G96" si="187">F84/F86</f>
        <v>0.99652576866118381</v>
      </c>
      <c r="G96" s="25">
        <f t="shared" si="187"/>
        <v>0.9944467429578282</v>
      </c>
      <c r="H96" s="25">
        <f t="shared" ref="H96:O96" si="188">H84/H86</f>
        <v>0.99312520568688434</v>
      </c>
      <c r="I96" s="25">
        <f t="shared" si="188"/>
        <v>0.85603151680587242</v>
      </c>
      <c r="J96" s="25">
        <f t="shared" si="188"/>
        <v>0.8563899198239463</v>
      </c>
      <c r="K96" s="25">
        <f t="shared" si="188"/>
        <v>0.98778567038274701</v>
      </c>
      <c r="L96" s="25">
        <f t="shared" si="188"/>
        <v>0.98606489772045613</v>
      </c>
      <c r="M96" s="25">
        <f t="shared" si="188"/>
        <v>0.98554159986356515</v>
      </c>
      <c r="N96" s="25">
        <f t="shared" si="188"/>
        <v>0.9809267341016058</v>
      </c>
      <c r="O96" s="25">
        <f t="shared" si="188"/>
        <v>0.98076097982218613</v>
      </c>
      <c r="P96" s="25">
        <f t="shared" ref="P96:Q96" si="189">P84/P86</f>
        <v>0.98025494149368775</v>
      </c>
      <c r="Q96" s="25">
        <f t="shared" si="189"/>
        <v>0.98119849440711471</v>
      </c>
      <c r="R96" s="25">
        <f t="shared" ref="R96:T96" si="190">R84/R86</f>
        <v>0.98093506766815275</v>
      </c>
      <c r="S96" s="25">
        <f t="shared" si="190"/>
        <v>0.9804326560668537</v>
      </c>
      <c r="T96" s="25">
        <f t="shared" si="190"/>
        <v>0.98039827805829038</v>
      </c>
      <c r="U96" s="25">
        <f t="shared" ref="U96:W96" si="191">U84/U86</f>
        <v>0.98509117889417752</v>
      </c>
      <c r="V96" s="25">
        <f t="shared" si="191"/>
        <v>0.98051697751627909</v>
      </c>
      <c r="W96" s="25">
        <f t="shared" si="191"/>
        <v>0.86869996246733783</v>
      </c>
    </row>
    <row r="98" spans="2:2" ht="15.75" customHeight="1" x14ac:dyDescent="0.25">
      <c r="B98" s="10" t="s">
        <v>148</v>
      </c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C95:Q95 C80:E80 F80:H80 Q80 C83:Q83 S83 U95 U83 W8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Características</vt:lpstr>
      <vt:lpstr>Portfolio</vt:lpstr>
      <vt:lpstr>Indicadores Financeiros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Teatini</dc:creator>
  <cp:lastModifiedBy>Lucas Paravizo</cp:lastModifiedBy>
  <dcterms:created xsi:type="dcterms:W3CDTF">2018-06-06T21:22:45Z</dcterms:created>
  <dcterms:modified xsi:type="dcterms:W3CDTF">2020-04-28T17:22:11Z</dcterms:modified>
</cp:coreProperties>
</file>